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sunnucks/Desktop/Book/"/>
    </mc:Choice>
  </mc:AlternateContent>
  <xr:revisionPtr revIDLastSave="0" documentId="13_ncr:1_{E3400001-43FB-B143-937F-AD62140472B3}" xr6:coauthVersionLast="36" xr6:coauthVersionMax="36" xr10:uidLastSave="{00000000-0000-0000-0000-000000000000}"/>
  <bookViews>
    <workbookView xWindow="0" yWindow="0" windowWidth="27320" windowHeight="15360" xr2:uid="{8B0972A4-6645-DA4A-AFC9-4B725A163173}"/>
  </bookViews>
  <sheets>
    <sheet name="Bank model (2)" sheetId="1" r:id="rId1"/>
  </sheets>
  <externalReferences>
    <externalReference r:id="rId2"/>
  </externalReferences>
  <definedNames>
    <definedName name="Basic_Shares" localSheetId="0">'Bank model (2)'!#REF!</definedName>
    <definedName name="Basic_Shares">'[1]Op-Model'!$J$8</definedName>
    <definedName name="CIQWBGuid" hidden="1">"fedf60f8-2cd9-49ba-9fee-91fc372c3a0f"</definedName>
    <definedName name="Circ_Ref" localSheetId="0">'Bank model (2)'!#REF!</definedName>
    <definedName name="Circ_Ref">'[1]Op-Model'!$D$20</definedName>
    <definedName name="Company_Name" localSheetId="0">'Bank model (2)'!#REF!</definedName>
    <definedName name="Company_Name">'[1]Op-Model'!$D$7</definedName>
    <definedName name="Comps_Range">'[1]Pub-Comps-Data'!$D$1:$AA$131</definedName>
    <definedName name="Forward_Year_1">[1]Inputs!$F$7</definedName>
    <definedName name="Forward_Year_2">[1]Inputs!$F$8</definedName>
    <definedName name="Forward_Year_3">[1]Inputs!$F$9</definedName>
    <definedName name="Hist_Year" localSheetId="0">'Bank model (2)'!#REF!</definedName>
    <definedName name="Hist_Year">'[1]Op-Model'!$D$10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LTM">[1]Inputs!$F$6</definedName>
    <definedName name="LTM_Date" localSheetId="0">'Bank model (2)'!#REF!</definedName>
    <definedName name="LTM_Date">'[1]Op-Model'!$D$11</definedName>
    <definedName name="Min_CET_1" localSheetId="0">'Bank model (2)'!#REF!</definedName>
    <definedName name="Min_CET_1">'[1]Op-Model'!$D$14</definedName>
    <definedName name="_xlnm.Print_Area" localSheetId="0">'Bank model (2)'!$A$33:$H$102</definedName>
    <definedName name="Risk_Free_Rate">'[1]Cost-Equity'!$E$7</definedName>
    <definedName name="Scenario" localSheetId="0">'Bank model (2)'!#REF!</definedName>
    <definedName name="Scenario">'[1]Op-Model'!$D$19</definedName>
    <definedName name="Share_Price" localSheetId="0">'Bank model (2)'!#REF!</definedName>
    <definedName name="Share_Price">'[1]Op-Model'!$J$9</definedName>
    <definedName name="Stub_Period">[1]DDM!$D$16</definedName>
    <definedName name="Tax_Rate" localSheetId="0">'Bank model (2)'!#REF!</definedName>
    <definedName name="Tax_Rate">'[1]Op-Model'!$D$15</definedName>
    <definedName name="Ticker" localSheetId="0">'Bank model (2)'!#REF!</definedName>
    <definedName name="Ticker">'[1]Op-Model'!$D$8</definedName>
    <definedName name="Units" localSheetId="0">'Bank model (2)'!#REF!</definedName>
    <definedName name="Units">'[1]Op-Model'!$D$17</definedName>
    <definedName name="Valuation_Date" localSheetId="0">'Bank model (2)'!#REF!</definedName>
    <definedName name="Valuation_Date">'[1]Op-Model'!$D$12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" l="1"/>
  <c r="E150" i="1"/>
  <c r="D150" i="1"/>
  <c r="C150" i="1"/>
  <c r="E149" i="1"/>
  <c r="D149" i="1"/>
  <c r="C149" i="1"/>
  <c r="E148" i="1"/>
  <c r="D148" i="1"/>
  <c r="C148" i="1"/>
  <c r="E145" i="1"/>
  <c r="D145" i="1"/>
  <c r="C145" i="1"/>
  <c r="E144" i="1"/>
  <c r="D144" i="1"/>
  <c r="C144" i="1"/>
  <c r="D143" i="1"/>
  <c r="E142" i="1"/>
  <c r="D142" i="1"/>
  <c r="C142" i="1"/>
  <c r="E141" i="1"/>
  <c r="D141" i="1"/>
  <c r="C141" i="1"/>
  <c r="E140" i="1"/>
  <c r="D140" i="1"/>
  <c r="C140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F123" i="1"/>
  <c r="G112" i="1"/>
  <c r="H112" i="1" s="1"/>
  <c r="F112" i="1"/>
  <c r="F106" i="1"/>
  <c r="F100" i="1"/>
  <c r="F54" i="1"/>
  <c r="G54" i="1" s="1"/>
  <c r="H54" i="1" s="1"/>
  <c r="I54" i="1" s="1"/>
  <c r="G34" i="1"/>
  <c r="G133" i="1" s="1"/>
  <c r="F34" i="1"/>
  <c r="F133" i="1" s="1"/>
  <c r="H29" i="1"/>
  <c r="I29" i="1" s="1"/>
  <c r="E29" i="1"/>
  <c r="D29" i="1"/>
  <c r="C29" i="1"/>
  <c r="F28" i="1"/>
  <c r="G28" i="1" s="1"/>
  <c r="H28" i="1" s="1"/>
  <c r="I28" i="1" s="1"/>
  <c r="E28" i="1"/>
  <c r="D28" i="1"/>
  <c r="C28" i="1"/>
  <c r="E27" i="1"/>
  <c r="D27" i="1"/>
  <c r="C27" i="1"/>
  <c r="E26" i="1"/>
  <c r="D26" i="1"/>
  <c r="C26" i="1"/>
  <c r="E25" i="1"/>
  <c r="D25" i="1"/>
  <c r="E24" i="1"/>
  <c r="F24" i="1" s="1"/>
  <c r="D24" i="1"/>
  <c r="C24" i="1"/>
  <c r="E23" i="1"/>
  <c r="D23" i="1"/>
  <c r="C23" i="1"/>
  <c r="G20" i="1"/>
  <c r="H20" i="1" s="1"/>
  <c r="F20" i="1"/>
  <c r="E20" i="1"/>
  <c r="D20" i="1"/>
  <c r="C20" i="1"/>
  <c r="F19" i="1"/>
  <c r="G19" i="1" s="1"/>
  <c r="E19" i="1"/>
  <c r="D19" i="1"/>
  <c r="C19" i="1"/>
  <c r="E18" i="1"/>
  <c r="F18" i="1" s="1"/>
  <c r="D18" i="1"/>
  <c r="C18" i="1"/>
  <c r="E17" i="1"/>
  <c r="F17" i="1" s="1"/>
  <c r="G17" i="1" s="1"/>
  <c r="H17" i="1" s="1"/>
  <c r="I17" i="1" s="1"/>
  <c r="D17" i="1"/>
  <c r="C17" i="1"/>
  <c r="G16" i="1"/>
  <c r="H16" i="1" s="1"/>
  <c r="I16" i="1" s="1"/>
  <c r="F16" i="1"/>
  <c r="E16" i="1"/>
  <c r="D16" i="1"/>
  <c r="C16" i="1"/>
  <c r="F15" i="1"/>
  <c r="E15" i="1"/>
  <c r="D15" i="1"/>
  <c r="C15" i="1"/>
  <c r="I14" i="1"/>
  <c r="H14" i="1"/>
  <c r="E14" i="1"/>
  <c r="D14" i="1"/>
  <c r="C14" i="1"/>
  <c r="F13" i="1"/>
  <c r="E13" i="1"/>
  <c r="D13" i="1"/>
  <c r="C13" i="1"/>
  <c r="E12" i="1"/>
  <c r="F12" i="1" s="1"/>
  <c r="G12" i="1" s="1"/>
  <c r="H12" i="1" s="1"/>
  <c r="I12" i="1" s="1"/>
  <c r="D12" i="1"/>
  <c r="C12" i="1"/>
  <c r="E11" i="1"/>
  <c r="F11" i="1" s="1"/>
  <c r="D11" i="1"/>
  <c r="C11" i="1"/>
  <c r="G10" i="1"/>
  <c r="H10" i="1" s="1"/>
  <c r="I10" i="1" s="1"/>
  <c r="E10" i="1"/>
  <c r="D10" i="1"/>
  <c r="C10" i="1"/>
  <c r="I9" i="1"/>
  <c r="E9" i="1"/>
  <c r="D9" i="1"/>
  <c r="E4" i="1"/>
  <c r="D4" i="1"/>
  <c r="C4" i="1"/>
  <c r="G65" i="1" l="1"/>
  <c r="H19" i="1"/>
  <c r="G11" i="1"/>
  <c r="I20" i="1"/>
  <c r="G18" i="1"/>
  <c r="F60" i="1"/>
  <c r="F94" i="1" s="1"/>
  <c r="G24" i="1"/>
  <c r="F65" i="1"/>
  <c r="G13" i="1"/>
  <c r="G15" i="1"/>
  <c r="H34" i="1"/>
  <c r="I112" i="1"/>
  <c r="H133" i="1" l="1"/>
  <c r="I34" i="1"/>
  <c r="I133" i="1" s="1"/>
  <c r="H18" i="1"/>
  <c r="G60" i="1"/>
  <c r="G94" i="1" s="1"/>
  <c r="H15" i="1"/>
  <c r="H11" i="1"/>
  <c r="H24" i="1"/>
  <c r="H65" i="1"/>
  <c r="I19" i="1"/>
  <c r="I65" i="1" s="1"/>
  <c r="H13" i="1"/>
  <c r="F95" i="1"/>
  <c r="G95" i="1"/>
  <c r="H60" i="1" l="1"/>
  <c r="H94" i="1" s="1"/>
  <c r="I18" i="1"/>
  <c r="I60" i="1" s="1"/>
  <c r="I94" i="1" s="1"/>
  <c r="I95" i="1"/>
  <c r="I24" i="1"/>
  <c r="I13" i="1"/>
  <c r="H95" i="1"/>
  <c r="I11" i="1"/>
  <c r="I15" i="1"/>
  <c r="F4" i="1" l="1"/>
  <c r="G4" i="1"/>
  <c r="H4" i="1"/>
  <c r="I4" i="1"/>
  <c r="F33" i="1"/>
  <c r="G33" i="1"/>
  <c r="H33" i="1"/>
  <c r="I33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2" i="1"/>
  <c r="G42" i="1"/>
  <c r="H42" i="1"/>
  <c r="I42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5" i="1"/>
  <c r="G55" i="1"/>
  <c r="H55" i="1"/>
  <c r="I55" i="1"/>
  <c r="F56" i="1"/>
  <c r="G56" i="1"/>
  <c r="H56" i="1"/>
  <c r="I56" i="1"/>
  <c r="F59" i="1"/>
  <c r="G59" i="1"/>
  <c r="H59" i="1"/>
  <c r="I59" i="1"/>
  <c r="F61" i="1"/>
  <c r="G61" i="1"/>
  <c r="H61" i="1"/>
  <c r="I61" i="1"/>
  <c r="F62" i="1"/>
  <c r="G62" i="1"/>
  <c r="H62" i="1"/>
  <c r="I62" i="1"/>
  <c r="F63" i="1"/>
  <c r="G63" i="1"/>
  <c r="H63" i="1"/>
  <c r="I63" i="1"/>
  <c r="F66" i="1"/>
  <c r="G66" i="1"/>
  <c r="H66" i="1"/>
  <c r="I66" i="1"/>
  <c r="F67" i="1"/>
  <c r="G67" i="1"/>
  <c r="H67" i="1"/>
  <c r="I67" i="1"/>
  <c r="F68" i="1"/>
  <c r="G68" i="1"/>
  <c r="H68" i="1"/>
  <c r="I68" i="1"/>
  <c r="F70" i="1"/>
  <c r="G70" i="1"/>
  <c r="H70" i="1"/>
  <c r="I70" i="1"/>
  <c r="F72" i="1"/>
  <c r="G72" i="1"/>
  <c r="H72" i="1"/>
  <c r="I72" i="1"/>
  <c r="F77" i="1"/>
  <c r="G77" i="1"/>
  <c r="H77" i="1"/>
  <c r="I77" i="1"/>
  <c r="F78" i="1"/>
  <c r="G78" i="1"/>
  <c r="H78" i="1"/>
  <c r="I78" i="1"/>
  <c r="F79" i="1"/>
  <c r="G79" i="1"/>
  <c r="H79" i="1"/>
  <c r="I79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90" i="1"/>
  <c r="G90" i="1"/>
  <c r="H90" i="1"/>
  <c r="I90" i="1"/>
  <c r="F91" i="1"/>
  <c r="G91" i="1"/>
  <c r="H91" i="1"/>
  <c r="I91" i="1"/>
  <c r="F96" i="1"/>
  <c r="G96" i="1"/>
  <c r="H96" i="1"/>
  <c r="I96" i="1"/>
  <c r="F97" i="1"/>
  <c r="G97" i="1"/>
  <c r="H97" i="1"/>
  <c r="I97" i="1"/>
  <c r="F99" i="1"/>
  <c r="G99" i="1"/>
  <c r="H99" i="1"/>
  <c r="I99" i="1"/>
  <c r="G100" i="1"/>
  <c r="H100" i="1"/>
  <c r="I100" i="1"/>
  <c r="F101" i="1"/>
  <c r="G101" i="1"/>
  <c r="H101" i="1"/>
  <c r="I101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31" i="1"/>
  <c r="G131" i="1"/>
  <c r="H131" i="1"/>
  <c r="I131" i="1"/>
  <c r="F132" i="1"/>
  <c r="G132" i="1"/>
  <c r="H132" i="1"/>
  <c r="I132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4" i="1"/>
  <c r="G144" i="1"/>
  <c r="H144" i="1"/>
  <c r="I144" i="1"/>
  <c r="F145" i="1"/>
  <c r="G145" i="1"/>
  <c r="H145" i="1"/>
  <c r="I145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65" i="1"/>
  <c r="G165" i="1"/>
  <c r="H165" i="1"/>
  <c r="I165" i="1"/>
  <c r="J165" i="1"/>
  <c r="F167" i="1"/>
  <c r="G167" i="1"/>
  <c r="H167" i="1"/>
  <c r="I167" i="1"/>
  <c r="J167" i="1"/>
  <c r="C169" i="1"/>
  <c r="C171" i="1"/>
  <c r="C173" i="1"/>
  <c r="F177" i="1"/>
  <c r="G177" i="1"/>
  <c r="H177" i="1"/>
  <c r="I177" i="1"/>
  <c r="F178" i="1"/>
  <c r="G178" i="1"/>
  <c r="H178" i="1"/>
  <c r="I178" i="1"/>
  <c r="F179" i="1"/>
  <c r="G179" i="1"/>
  <c r="H179" i="1"/>
  <c r="I179" i="1"/>
</calcChain>
</file>

<file path=xl/sharedStrings.xml><?xml version="1.0" encoding="utf-8"?>
<sst xmlns="http://schemas.openxmlformats.org/spreadsheetml/2006/main" count="146" uniqueCount="140">
  <si>
    <t xml:space="preserve">Financial Model </t>
  </si>
  <si>
    <t>Historic --&gt;</t>
  </si>
  <si>
    <t>Forecast --&gt;</t>
  </si>
  <si>
    <t>USD millions, except per share data</t>
  </si>
  <si>
    <t>Balance Sheet Check</t>
  </si>
  <si>
    <t>Assumptions</t>
  </si>
  <si>
    <t>Balance sheet</t>
  </si>
  <si>
    <t>Loan growth (YoY)</t>
  </si>
  <si>
    <t xml:space="preserve">Loan to deposit ratio </t>
  </si>
  <si>
    <t>Net charge-off’s (Percent of gross loans)</t>
  </si>
  <si>
    <t>Capital Asset Turnover Ratio</t>
  </si>
  <si>
    <t>Depreciation expense (Percent of revenue)</t>
  </si>
  <si>
    <t>Investment securities (Percent of deposits)</t>
  </si>
  <si>
    <t>Other assets (Percent of deposits)</t>
  </si>
  <si>
    <t>Deferred tax liability (Percent of tax expense)</t>
  </si>
  <si>
    <t>Other liabilities (Percent of deposits)</t>
  </si>
  <si>
    <t>Long-term debt (Currency)</t>
  </si>
  <si>
    <t>Common stock issuance (Currency)</t>
  </si>
  <si>
    <t>Risk Weighted Assets (percent of IEA)</t>
  </si>
  <si>
    <t>Income statement assumptions</t>
  </si>
  <si>
    <t>Yield on assets (Percent of IEA)</t>
  </si>
  <si>
    <t>Yield on deposits (Percent of deposits)</t>
  </si>
  <si>
    <t>Non-interest income growth (YoY)</t>
  </si>
  <si>
    <t>Provision for credit cost (Percent of gross loans)</t>
  </si>
  <si>
    <t>Non-interest expense (Percent of revenue)</t>
  </si>
  <si>
    <t>Effective tax rate (Percent of pretax income)</t>
  </si>
  <si>
    <t>Dividend (Percent of net income)</t>
  </si>
  <si>
    <t>Income statement</t>
  </si>
  <si>
    <t>Total Net Interest Income</t>
  </si>
  <si>
    <t>Net Fee and Commission Income</t>
  </si>
  <si>
    <t>Revenue (Net Operating Income)</t>
  </si>
  <si>
    <t>Provisions</t>
  </si>
  <si>
    <t>Non-Interest Expenses</t>
  </si>
  <si>
    <t>Pre-Tax Income</t>
  </si>
  <si>
    <t>Income tax expense</t>
  </si>
  <si>
    <t>Net Income to Common</t>
  </si>
  <si>
    <t>Dividends paid</t>
  </si>
  <si>
    <t>Assets</t>
  </si>
  <si>
    <t>Cash and Balances at Central Banks</t>
  </si>
  <si>
    <t>Investment securities</t>
  </si>
  <si>
    <t>Gross Loans</t>
  </si>
  <si>
    <t>Allowance for Loan Losses</t>
  </si>
  <si>
    <t>Net Loans</t>
  </si>
  <si>
    <t>Property, Plant and Equipment (PP&amp;E)</t>
  </si>
  <si>
    <t>Other Intangible Assets</t>
  </si>
  <si>
    <t>Other Assets</t>
  </si>
  <si>
    <t>Total Assets</t>
  </si>
  <si>
    <t>Liabilities</t>
  </si>
  <si>
    <t>Deposits</t>
  </si>
  <si>
    <t>Long-term debt</t>
  </si>
  <si>
    <t>Deferrred tax liability</t>
  </si>
  <si>
    <t>Other Liabilities</t>
  </si>
  <si>
    <t>Total Liabilities</t>
  </si>
  <si>
    <t>Equity</t>
  </si>
  <si>
    <t>Common equity</t>
  </si>
  <si>
    <t>Retained Earnings</t>
  </si>
  <si>
    <t>Total Equity</t>
  </si>
  <si>
    <t>Total Liabilities &amp; Equity</t>
  </si>
  <si>
    <t>Check</t>
  </si>
  <si>
    <t>Risk-Weighted Assets (RWA)</t>
  </si>
  <si>
    <t>Cash flow statement</t>
  </si>
  <si>
    <t>Operating Activities:</t>
  </si>
  <si>
    <t>Depreciation</t>
  </si>
  <si>
    <t>Changes in Operating Assets and Liabilities:</t>
  </si>
  <si>
    <t>Deferred tax</t>
  </si>
  <si>
    <t>Investment Securities - Available for Sale</t>
  </si>
  <si>
    <t>Loans and Advances to Customers</t>
  </si>
  <si>
    <t>Customer Deposits</t>
  </si>
  <si>
    <t>Net Cash Flow from Operations</t>
  </si>
  <si>
    <t>Investing Activities:</t>
  </si>
  <si>
    <t>Acquisitions of Property and Equipment</t>
  </si>
  <si>
    <t>Net Cash Flow from Investing</t>
  </si>
  <si>
    <t>Financing Activities:</t>
  </si>
  <si>
    <t>Increase/(Decrease) in Long-Term Debt</t>
  </si>
  <si>
    <t>Issuance of common stock</t>
  </si>
  <si>
    <t>Dividends (current year)</t>
  </si>
  <si>
    <t>Net Cash Flow from Financing</t>
  </si>
  <si>
    <t>Increase/(Decrease) in Cash and Equivalents</t>
  </si>
  <si>
    <t>Cash and Equivalents, Beginning of the Year</t>
  </si>
  <si>
    <t>Cash and Equivalents, End of the Year</t>
  </si>
  <si>
    <t>Supporting Schedule</t>
  </si>
  <si>
    <t>Allowance for loan losses</t>
  </si>
  <si>
    <t>Prior allowance for loan losses</t>
  </si>
  <si>
    <t>Net charge off’s (provisions utilised)</t>
  </si>
  <si>
    <t>Addition to provisions</t>
  </si>
  <si>
    <t>Ending allowance for loan losses</t>
  </si>
  <si>
    <t>Interest earning assets</t>
  </si>
  <si>
    <t>Gross loans</t>
  </si>
  <si>
    <t>Gross loans net of charge-offs</t>
  </si>
  <si>
    <t>Other interest earning assets</t>
  </si>
  <si>
    <t xml:space="preserve">Total interest earning assets </t>
  </si>
  <si>
    <t>Interest Income</t>
  </si>
  <si>
    <t>Interest Expense</t>
  </si>
  <si>
    <t>Interest income</t>
  </si>
  <si>
    <t xml:space="preserve">Property Plant and Equipment </t>
  </si>
  <si>
    <t>Beginning of Period</t>
  </si>
  <si>
    <t>Capital Expenditures/Additions (Disposals)</t>
  </si>
  <si>
    <t>Depreciation Expense</t>
  </si>
  <si>
    <t>Net PP&amp;E End of Period</t>
  </si>
  <si>
    <t>Assessment</t>
  </si>
  <si>
    <t>Performance</t>
  </si>
  <si>
    <t>Loan growth</t>
  </si>
  <si>
    <t xml:space="preserve">Net interest income </t>
  </si>
  <si>
    <t>Net fee growth</t>
  </si>
  <si>
    <t>Net revenue growth</t>
  </si>
  <si>
    <t>Earnings growth</t>
  </si>
  <si>
    <t>Dividend growth</t>
  </si>
  <si>
    <t xml:space="preserve">Equity book value growth </t>
  </si>
  <si>
    <t>Profitability</t>
  </si>
  <si>
    <t>Return on equity</t>
  </si>
  <si>
    <t>Return on assets</t>
  </si>
  <si>
    <t>Net interest margin</t>
  </si>
  <si>
    <t>Loan loss ratio</t>
  </si>
  <si>
    <t>Loan to deposit ratio</t>
  </si>
  <si>
    <t>Efficiency ratio</t>
  </si>
  <si>
    <t>Leverage</t>
  </si>
  <si>
    <t>Common equity tier-1 ratio (CET1)</t>
  </si>
  <si>
    <t>Assets to equity</t>
  </si>
  <si>
    <t>Reserve rate requirement</t>
  </si>
  <si>
    <t>Valuation - discounted cash flow</t>
  </si>
  <si>
    <t>Risk free rate</t>
  </si>
  <si>
    <t>Risk premium</t>
  </si>
  <si>
    <t>Beta</t>
  </si>
  <si>
    <t>Cost of Equity</t>
  </si>
  <si>
    <t>Terminal Growth rate</t>
  </si>
  <si>
    <t># Shares Outstanding (millions)</t>
  </si>
  <si>
    <t>Current Markt price</t>
  </si>
  <si>
    <t>2022E</t>
  </si>
  <si>
    <t>2024E</t>
  </si>
  <si>
    <t>Terminal value</t>
  </si>
  <si>
    <t>Dividends</t>
  </si>
  <si>
    <t xml:space="preserve">Discounted cash flow </t>
  </si>
  <si>
    <t>Equity value</t>
  </si>
  <si>
    <t>Shares outstanding</t>
  </si>
  <si>
    <t>Price per share</t>
  </si>
  <si>
    <t xml:space="preserve">Upside/downside </t>
  </si>
  <si>
    <t>Valuation - implied valution multiples</t>
  </si>
  <si>
    <t>Price to eanings</t>
  </si>
  <si>
    <t>Dividend yield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</si>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</sst>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&quot;E&quot;"/>
    <numFmt numFmtId="165" formatCode="_-* #,##0.00_-;\-* #,##0.00_-;_-* &quot;-&quot;??_-;_-@_-"/>
    <numFmt numFmtId="166" formatCode="_-* #,##0_-;\(#,##0\)_-;_-* &quot;-&quot;_-;_-@_-"/>
    <numFmt numFmtId="167" formatCode="0.0"/>
    <numFmt numFmtId="168" formatCode="0.0%"/>
    <numFmt numFmtId="169" formatCode="_(* #,##0_);_(* \(#,##0\);_(* &quot;-&quot;??_);_(@_)"/>
    <numFmt numFmtId="170" formatCode="_(* #,##0.0_);_(* \(#,##0.0\);_(* &quot;-&quot;?_);_(@_)"/>
    <numFmt numFmtId="171" formatCode="_(* #,##0.0_);_(* \(#,##0.0\);_(* &quot;-&quot;_);_(@_)"/>
    <numFmt numFmtId="172" formatCode="_(\£* #,##0.00_);_(\£* \(#,##0.00\);_(\£* &quot;-&quot;??_);_(@_)"/>
    <numFmt numFmtId="173" formatCode="&quot;$&quot;#,##0.0_);\(&quot;$&quot;#,##0.0\);&quot;OK!&quot;;&quot;ERROR&quot;"/>
    <numFmt numFmtId="174" formatCode="&quot;$&quot;#,##0.000_);\(&quot;$&quot;#,##0.000\);&quot;OK!&quot;;&quot;ERROR&quot;"/>
    <numFmt numFmtId="175" formatCode="&quot;$&quot;#,##0_);\(&quot;$&quot;#,##0\)"/>
    <numFmt numFmtId="176" formatCode="#,##0_);\(#,##0\);\-"/>
    <numFmt numFmtId="177" formatCode="0.0\x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Roman"/>
    </font>
    <font>
      <sz val="11"/>
      <color theme="0"/>
      <name val="Times Roman"/>
    </font>
    <font>
      <b/>
      <sz val="11"/>
      <color rgb="FFFFFFFF"/>
      <name val="Times Roman"/>
    </font>
    <font>
      <b/>
      <sz val="11"/>
      <color theme="0"/>
      <name val="Times Roman"/>
    </font>
    <font>
      <sz val="10"/>
      <name val="Bookman"/>
      <family val="1"/>
    </font>
    <font>
      <i/>
      <sz val="11"/>
      <color theme="0"/>
      <name val="Times Roman"/>
    </font>
    <font>
      <i/>
      <sz val="11"/>
      <color theme="1"/>
      <name val="Times Roman"/>
    </font>
    <font>
      <i/>
      <sz val="11"/>
      <name val="Times Roman"/>
    </font>
    <font>
      <sz val="11"/>
      <color rgb="FF000000"/>
      <name val="Times Roman"/>
    </font>
    <font>
      <sz val="13"/>
      <color theme="0"/>
      <name val="Times Roman"/>
    </font>
    <font>
      <b/>
      <sz val="11"/>
      <color rgb="FF000000"/>
      <name val="Times Roman"/>
    </font>
    <font>
      <sz val="11"/>
      <color rgb="FF0070C0"/>
      <name val="Times Roman"/>
    </font>
    <font>
      <sz val="11"/>
      <name val="Times Roman"/>
    </font>
    <font>
      <b/>
      <sz val="11"/>
      <color theme="1"/>
      <name val="Times Roman"/>
    </font>
    <font>
      <b/>
      <sz val="11"/>
      <name val="Times Roman"/>
    </font>
    <font>
      <sz val="11"/>
      <color theme="2" tint="-9.9978637043366805E-2"/>
      <name val="Times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4" applyFont="1" applyFill="1"/>
    <xf numFmtId="0" fontId="3" fillId="0" borderId="0" xfId="4" applyFont="1" applyBorder="1" applyAlignment="1"/>
    <xf numFmtId="0" fontId="4" fillId="0" borderId="0" xfId="4" applyFont="1" applyBorder="1" applyAlignment="1"/>
    <xf numFmtId="0" fontId="4" fillId="0" borderId="0" xfId="4" applyFont="1"/>
    <xf numFmtId="0" fontId="3" fillId="0" borderId="0" xfId="4" applyFont="1"/>
    <xf numFmtId="0" fontId="5" fillId="3" borderId="0" xfId="0" applyFont="1" applyFill="1" applyAlignment="1">
      <alignment horizontal="left" vertical="center" readingOrder="1"/>
    </xf>
    <xf numFmtId="37" fontId="4" fillId="3" borderId="0" xfId="0" applyNumberFormat="1" applyFont="1" applyFill="1"/>
    <xf numFmtId="164" fontId="4" fillId="4" borderId="0" xfId="4" applyNumberFormat="1" applyFont="1" applyFill="1" applyBorder="1" applyAlignment="1"/>
    <xf numFmtId="164" fontId="4" fillId="4" borderId="0" xfId="4" applyNumberFormat="1" applyFont="1" applyFill="1"/>
    <xf numFmtId="164" fontId="6" fillId="4" borderId="0" xfId="4" applyNumberFormat="1" applyFont="1" applyFill="1"/>
    <xf numFmtId="166" fontId="8" fillId="3" borderId="0" xfId="5" applyNumberFormat="1" applyFont="1" applyFill="1" applyAlignment="1" applyProtection="1">
      <alignment horizontal="left"/>
      <protection locked="0"/>
    </xf>
    <xf numFmtId="164" fontId="6" fillId="3" borderId="0" xfId="0" applyNumberFormat="1" applyFont="1" applyFill="1" applyAlignment="1">
      <alignment horizontal="center"/>
    </xf>
    <xf numFmtId="164" fontId="6" fillId="4" borderId="0" xfId="4" applyNumberFormat="1" applyFont="1" applyFill="1" applyBorder="1" applyAlignment="1">
      <alignment horizontal="center"/>
    </xf>
    <xf numFmtId="164" fontId="6" fillId="4" borderId="0" xfId="4" applyNumberFormat="1" applyFont="1" applyFill="1" applyAlignment="1">
      <alignment horizontal="center"/>
    </xf>
    <xf numFmtId="0" fontId="3" fillId="2" borderId="0" xfId="0" applyFont="1" applyFill="1"/>
    <xf numFmtId="166" fontId="9" fillId="2" borderId="0" xfId="5" applyNumberFormat="1" applyFont="1" applyFill="1" applyProtection="1">
      <protection locked="0"/>
    </xf>
    <xf numFmtId="166" fontId="10" fillId="2" borderId="0" xfId="5" applyNumberFormat="1" applyFont="1" applyFill="1" applyAlignment="1">
      <alignment horizontal="right"/>
    </xf>
    <xf numFmtId="0" fontId="3" fillId="0" borderId="0" xfId="0" applyFont="1"/>
    <xf numFmtId="0" fontId="11" fillId="0" borderId="0" xfId="0" applyFont="1" applyAlignment="1">
      <alignment vertical="center"/>
    </xf>
    <xf numFmtId="166" fontId="12" fillId="3" borderId="0" xfId="5" applyNumberFormat="1" applyFont="1" applyFill="1" applyAlignment="1" applyProtection="1">
      <alignment horizontal="left"/>
      <protection locked="0"/>
    </xf>
    <xf numFmtId="1" fontId="6" fillId="3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9" fontId="14" fillId="0" borderId="0" xfId="3" applyFont="1"/>
    <xf numFmtId="10" fontId="14" fillId="0" borderId="0" xfId="3" applyNumberFormat="1" applyFont="1"/>
    <xf numFmtId="0" fontId="11" fillId="2" borderId="0" xfId="0" applyFont="1" applyFill="1" applyAlignment="1">
      <alignment vertical="center" wrapText="1"/>
    </xf>
    <xf numFmtId="167" fontId="14" fillId="0" borderId="0" xfId="3" applyNumberFormat="1" applyFont="1"/>
    <xf numFmtId="9" fontId="14" fillId="0" borderId="0" xfId="3" applyFont="1" applyBorder="1" applyAlignment="1"/>
    <xf numFmtId="168" fontId="14" fillId="0" borderId="0" xfId="0" applyNumberFormat="1" applyFont="1"/>
    <xf numFmtId="9" fontId="14" fillId="0" borderId="0" xfId="0" applyNumberFormat="1" applyFont="1"/>
    <xf numFmtId="169" fontId="14" fillId="2" borderId="0" xfId="0" applyNumberFormat="1" applyFont="1" applyFill="1"/>
    <xf numFmtId="0" fontId="14" fillId="2" borderId="0" xfId="0" applyNumberFormat="1" applyFont="1" applyFill="1"/>
    <xf numFmtId="170" fontId="14" fillId="0" borderId="0" xfId="0" applyNumberFormat="1" applyFont="1"/>
    <xf numFmtId="0" fontId="11" fillId="2" borderId="0" xfId="0" applyFont="1" applyFill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vertical="center"/>
    </xf>
    <xf numFmtId="9" fontId="14" fillId="0" borderId="0" xfId="3" applyNumberFormat="1" applyFont="1" applyBorder="1" applyAlignment="1"/>
    <xf numFmtId="168" fontId="14" fillId="2" borderId="0" xfId="3" applyNumberFormat="1" applyFont="1" applyFill="1" applyBorder="1" applyAlignment="1"/>
    <xf numFmtId="9" fontId="3" fillId="0" borderId="0" xfId="3" applyFont="1" applyBorder="1" applyAlignment="1"/>
    <xf numFmtId="9" fontId="3" fillId="0" borderId="0" xfId="3" applyFont="1"/>
    <xf numFmtId="0" fontId="15" fillId="0" borderId="0" xfId="4" applyFont="1" applyBorder="1" applyAlignment="1">
      <alignment horizontal="left"/>
    </xf>
    <xf numFmtId="171" fontId="3" fillId="0" borderId="0" xfId="4" applyNumberFormat="1" applyFont="1" applyBorder="1" applyAlignment="1"/>
    <xf numFmtId="0" fontId="3" fillId="0" borderId="0" xfId="4" applyFont="1" applyFill="1" applyBorder="1"/>
    <xf numFmtId="0" fontId="3" fillId="0" borderId="1" xfId="4" applyFont="1" applyBorder="1" applyAlignment="1"/>
    <xf numFmtId="167" fontId="3" fillId="0" borderId="1" xfId="4" applyNumberFormat="1" applyFont="1" applyBorder="1" applyAlignment="1"/>
    <xf numFmtId="167" fontId="15" fillId="0" borderId="1" xfId="4" applyNumberFormat="1" applyFont="1" applyBorder="1" applyAlignment="1"/>
    <xf numFmtId="0" fontId="16" fillId="0" borderId="0" xfId="4" applyFont="1" applyBorder="1" applyAlignment="1"/>
    <xf numFmtId="171" fontId="16" fillId="0" borderId="0" xfId="4" applyNumberFormat="1" applyFont="1" applyBorder="1" applyAlignment="1"/>
    <xf numFmtId="167" fontId="3" fillId="0" borderId="0" xfId="4" applyNumberFormat="1" applyFont="1" applyBorder="1" applyAlignment="1"/>
    <xf numFmtId="0" fontId="3" fillId="0" borderId="1" xfId="4" applyFont="1" applyBorder="1" applyAlignment="1">
      <alignment horizontal="left"/>
    </xf>
    <xf numFmtId="0" fontId="3" fillId="0" borderId="0" xfId="4" applyFont="1" applyFill="1" applyBorder="1" applyAlignment="1"/>
    <xf numFmtId="0" fontId="16" fillId="2" borderId="0" xfId="4" applyFont="1" applyFill="1" applyBorder="1"/>
    <xf numFmtId="0" fontId="16" fillId="0" borderId="1" xfId="4" applyFont="1" applyBorder="1" applyAlignment="1"/>
    <xf numFmtId="171" fontId="16" fillId="0" borderId="1" xfId="4" applyNumberFormat="1" applyFont="1" applyBorder="1" applyAlignment="1"/>
    <xf numFmtId="0" fontId="16" fillId="0" borderId="0" xfId="4" applyFont="1" applyFill="1" applyBorder="1"/>
    <xf numFmtId="0" fontId="16" fillId="0" borderId="0" xfId="4" applyFont="1" applyBorder="1"/>
    <xf numFmtId="0" fontId="3" fillId="0" borderId="0" xfId="4" applyFont="1" applyBorder="1" applyAlignment="1">
      <alignment horizontal="left"/>
    </xf>
    <xf numFmtId="167" fontId="15" fillId="0" borderId="0" xfId="4" applyNumberFormat="1" applyFont="1" applyBorder="1" applyAlignment="1"/>
    <xf numFmtId="0" fontId="16" fillId="0" borderId="2" xfId="4" applyFont="1" applyBorder="1" applyAlignment="1"/>
    <xf numFmtId="171" fontId="16" fillId="0" borderId="2" xfId="4" applyNumberFormat="1" applyFont="1" applyBorder="1" applyAlignment="1"/>
    <xf numFmtId="171" fontId="17" fillId="0" borderId="0" xfId="4" applyNumberFormat="1" applyFont="1" applyBorder="1" applyAlignment="1"/>
    <xf numFmtId="0" fontId="16" fillId="0" borderId="0" xfId="4" applyFont="1" applyFill="1" applyBorder="1" applyAlignment="1"/>
    <xf numFmtId="172" fontId="17" fillId="0" borderId="0" xfId="4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3" fillId="2" borderId="0" xfId="4" applyFont="1" applyFill="1" applyBorder="1"/>
    <xf numFmtId="0" fontId="16" fillId="2" borderId="0" xfId="0" applyFont="1" applyFill="1" applyAlignment="1">
      <alignment vertical="center"/>
    </xf>
    <xf numFmtId="0" fontId="3" fillId="2" borderId="0" xfId="4" applyNumberFormat="1" applyFont="1" applyFill="1" applyBorder="1"/>
    <xf numFmtId="0" fontId="3" fillId="2" borderId="0" xfId="4" applyNumberFormat="1" applyFont="1" applyFill="1" applyBorder="1" applyAlignment="1">
      <alignment horizontal="left"/>
    </xf>
    <xf numFmtId="169" fontId="3" fillId="2" borderId="0" xfId="1" applyNumberFormat="1" applyFont="1" applyFill="1" applyBorder="1" applyAlignment="1"/>
    <xf numFmtId="0" fontId="9" fillId="2" borderId="0" xfId="4" applyNumberFormat="1" applyFont="1" applyFill="1" applyBorder="1" applyAlignment="1">
      <alignment horizontal="left" indent="2"/>
    </xf>
    <xf numFmtId="169" fontId="9" fillId="2" borderId="0" xfId="1" applyNumberFormat="1" applyFont="1" applyFill="1" applyBorder="1" applyAlignment="1"/>
    <xf numFmtId="0" fontId="3" fillId="2" borderId="0" xfId="4" applyNumberFormat="1" applyFont="1" applyFill="1" applyBorder="1" applyAlignment="1"/>
    <xf numFmtId="0" fontId="16" fillId="2" borderId="3" xfId="4" applyNumberFormat="1" applyFont="1" applyFill="1" applyBorder="1" applyAlignment="1"/>
    <xf numFmtId="169" fontId="16" fillId="2" borderId="3" xfId="1" applyNumberFormat="1" applyFont="1" applyFill="1" applyBorder="1" applyAlignment="1"/>
    <xf numFmtId="0" fontId="16" fillId="2" borderId="0" xfId="4" applyNumberFormat="1" applyFont="1" applyFill="1" applyBorder="1" applyAlignment="1"/>
    <xf numFmtId="169" fontId="16" fillId="2" borderId="0" xfId="1" applyNumberFormat="1" applyFont="1" applyFill="1" applyBorder="1" applyAlignment="1"/>
    <xf numFmtId="43" fontId="3" fillId="2" borderId="0" xfId="1" applyNumberFormat="1" applyFont="1" applyFill="1" applyBorder="1" applyAlignment="1"/>
    <xf numFmtId="0" fontId="3" fillId="0" borderId="0" xfId="4" applyFont="1" applyBorder="1"/>
    <xf numFmtId="0" fontId="3" fillId="2" borderId="3" xfId="4" applyNumberFormat="1" applyFont="1" applyFill="1" applyBorder="1" applyAlignment="1"/>
    <xf numFmtId="169" fontId="3" fillId="2" borderId="3" xfId="1" applyNumberFormat="1" applyFont="1" applyFill="1" applyBorder="1" applyAlignment="1"/>
    <xf numFmtId="0" fontId="9" fillId="2" borderId="0" xfId="4" applyNumberFormat="1" applyFont="1" applyFill="1" applyBorder="1" applyAlignment="1"/>
    <xf numFmtId="0" fontId="3" fillId="2" borderId="0" xfId="4" applyFont="1" applyFill="1" applyBorder="1" applyAlignment="1"/>
    <xf numFmtId="173" fontId="3" fillId="2" borderId="0" xfId="4" applyNumberFormat="1" applyFont="1" applyFill="1" applyBorder="1"/>
    <xf numFmtId="0" fontId="5" fillId="6" borderId="0" xfId="0" applyFont="1" applyFill="1" applyAlignment="1">
      <alignment vertical="center"/>
    </xf>
    <xf numFmtId="166" fontId="10" fillId="6" borderId="0" xfId="0" applyNumberFormat="1" applyFont="1" applyFill="1" applyAlignment="1">
      <alignment horizontal="right"/>
    </xf>
    <xf numFmtId="43" fontId="3" fillId="0" borderId="0" xfId="4" applyNumberFormat="1" applyFont="1" applyBorder="1" applyAlignment="1"/>
    <xf numFmtId="0" fontId="3" fillId="0" borderId="0" xfId="4" applyFont="1" applyFill="1" applyBorder="1" applyAlignment="1">
      <alignment horizontal="left"/>
    </xf>
    <xf numFmtId="1" fontId="3" fillId="0" borderId="0" xfId="4" applyNumberFormat="1" applyFont="1" applyFill="1" applyBorder="1" applyAlignment="1"/>
    <xf numFmtId="1" fontId="11" fillId="0" borderId="0" xfId="4" applyNumberFormat="1" applyFont="1" applyFill="1" applyBorder="1" applyAlignment="1"/>
    <xf numFmtId="0" fontId="3" fillId="0" borderId="0" xfId="4" applyFont="1" applyFill="1" applyBorder="1" applyAlignment="1">
      <alignment horizontal="left" indent="1"/>
    </xf>
    <xf numFmtId="0" fontId="16" fillId="0" borderId="3" xfId="4" applyFont="1" applyFill="1" applyBorder="1" applyAlignment="1"/>
    <xf numFmtId="41" fontId="16" fillId="0" borderId="3" xfId="4" applyNumberFormat="1" applyFont="1" applyFill="1" applyBorder="1" applyAlignment="1"/>
    <xf numFmtId="41" fontId="17" fillId="0" borderId="3" xfId="4" applyNumberFormat="1" applyFont="1" applyFill="1" applyBorder="1" applyAlignment="1"/>
    <xf numFmtId="41" fontId="3" fillId="0" borderId="0" xfId="4" applyNumberFormat="1" applyFont="1" applyFill="1" applyBorder="1" applyAlignment="1"/>
    <xf numFmtId="41" fontId="3" fillId="0" borderId="0" xfId="4" applyNumberFormat="1" applyFont="1" applyBorder="1" applyAlignment="1"/>
    <xf numFmtId="41" fontId="16" fillId="0" borderId="0" xfId="4" applyNumberFormat="1" applyFont="1" applyFill="1" applyBorder="1" applyAlignment="1"/>
    <xf numFmtId="0" fontId="15" fillId="2" borderId="1" xfId="0" applyFont="1" applyFill="1" applyBorder="1"/>
    <xf numFmtId="41" fontId="3" fillId="0" borderId="1" xfId="4" applyNumberFormat="1" applyFont="1" applyFill="1" applyBorder="1" applyAlignment="1"/>
    <xf numFmtId="41" fontId="15" fillId="0" borderId="1" xfId="4" applyNumberFormat="1" applyFont="1" applyFill="1" applyBorder="1" applyAlignment="1"/>
    <xf numFmtId="0" fontId="17" fillId="2" borderId="2" xfId="0" applyFont="1" applyFill="1" applyBorder="1"/>
    <xf numFmtId="41" fontId="16" fillId="0" borderId="2" xfId="4" applyNumberFormat="1" applyFont="1" applyFill="1" applyBorder="1" applyAlignment="1"/>
    <xf numFmtId="174" fontId="3" fillId="0" borderId="0" xfId="4" applyNumberFormat="1" applyFont="1" applyBorder="1" applyAlignment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1" fontId="3" fillId="0" borderId="0" xfId="0" applyNumberFormat="1" applyFont="1" applyFill="1" applyBorder="1" applyAlignment="1"/>
    <xf numFmtId="169" fontId="3" fillId="0" borderId="0" xfId="4" applyNumberFormat="1" applyFont="1" applyBorder="1" applyAlignment="1"/>
    <xf numFmtId="0" fontId="11" fillId="0" borderId="2" xfId="0" applyFont="1" applyBorder="1" applyAlignment="1">
      <alignment vertical="center" wrapText="1"/>
    </xf>
    <xf numFmtId="1" fontId="3" fillId="0" borderId="2" xfId="4" applyNumberFormat="1" applyFont="1" applyBorder="1" applyAlignment="1"/>
    <xf numFmtId="1" fontId="3" fillId="0" borderId="0" xfId="4" applyNumberFormat="1" applyFont="1" applyBorder="1" applyAlignment="1"/>
    <xf numFmtId="0" fontId="13" fillId="0" borderId="0" xfId="0" applyFont="1" applyBorder="1" applyAlignment="1">
      <alignment vertical="center" wrapText="1"/>
    </xf>
    <xf numFmtId="0" fontId="16" fillId="0" borderId="0" xfId="0" applyFont="1" applyAlignment="1"/>
    <xf numFmtId="0" fontId="15" fillId="0" borderId="0" xfId="4" applyFont="1" applyFill="1" applyBorder="1" applyAlignment="1">
      <alignment horizontal="left"/>
    </xf>
    <xf numFmtId="43" fontId="9" fillId="0" borderId="2" xfId="4" applyNumberFormat="1" applyFont="1" applyBorder="1" applyAlignment="1"/>
    <xf numFmtId="0" fontId="3" fillId="0" borderId="0" xfId="0" applyFont="1" applyAlignme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0" borderId="2" xfId="4" applyNumberFormat="1" applyFont="1" applyBorder="1" applyAlignment="1"/>
    <xf numFmtId="0" fontId="3" fillId="0" borderId="0" xfId="4" applyFont="1" applyAlignment="1"/>
    <xf numFmtId="0" fontId="16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9" fontId="10" fillId="6" borderId="0" xfId="3" applyFont="1" applyFill="1" applyAlignment="1">
      <alignment horizontal="right"/>
    </xf>
    <xf numFmtId="0" fontId="16" fillId="0" borderId="0" xfId="4" applyFont="1" applyAlignment="1"/>
    <xf numFmtId="9" fontId="3" fillId="2" borderId="0" xfId="3" applyFont="1" applyFill="1"/>
    <xf numFmtId="9" fontId="3" fillId="0" borderId="0" xfId="3" applyNumberFormat="1" applyFont="1" applyBorder="1" applyAlignment="1"/>
    <xf numFmtId="0" fontId="3" fillId="2" borderId="0" xfId="4" applyNumberFormat="1" applyFont="1" applyFill="1"/>
    <xf numFmtId="0" fontId="3" fillId="0" borderId="0" xfId="4" applyNumberFormat="1" applyFont="1" applyBorder="1" applyAlignment="1"/>
    <xf numFmtId="167" fontId="3" fillId="0" borderId="0" xfId="3" applyNumberFormat="1" applyFont="1" applyBorder="1" applyAlignment="1"/>
    <xf numFmtId="167" fontId="3" fillId="0" borderId="0" xfId="4" applyNumberFormat="1" applyFont="1"/>
    <xf numFmtId="0" fontId="3" fillId="0" borderId="0" xfId="4" applyNumberFormat="1" applyFont="1"/>
    <xf numFmtId="0" fontId="15" fillId="2" borderId="0" xfId="0" applyFont="1" applyFill="1"/>
    <xf numFmtId="9" fontId="14" fillId="2" borderId="0" xfId="3" applyFont="1" applyFill="1"/>
    <xf numFmtId="0" fontId="15" fillId="2" borderId="4" xfId="0" applyFont="1" applyFill="1" applyBorder="1"/>
    <xf numFmtId="0" fontId="14" fillId="2" borderId="4" xfId="0" applyFont="1" applyFill="1" applyBorder="1"/>
    <xf numFmtId="0" fontId="15" fillId="2" borderId="0" xfId="0" applyFont="1" applyFill="1" applyBorder="1"/>
    <xf numFmtId="9" fontId="3" fillId="2" borderId="0" xfId="3" applyNumberFormat="1" applyFont="1" applyFill="1" applyBorder="1" applyAlignment="1">
      <alignment horizontal="right"/>
    </xf>
    <xf numFmtId="10" fontId="15" fillId="2" borderId="0" xfId="3" applyNumberFormat="1" applyFont="1" applyFill="1" applyBorder="1" applyAlignment="1">
      <alignment horizontal="right"/>
    </xf>
    <xf numFmtId="9" fontId="14" fillId="2" borderId="0" xfId="3" applyNumberFormat="1" applyFont="1" applyFill="1" applyBorder="1"/>
    <xf numFmtId="14" fontId="15" fillId="2" borderId="0" xfId="0" applyNumberFormat="1" applyFont="1" applyFill="1" applyBorder="1"/>
    <xf numFmtId="169" fontId="14" fillId="2" borderId="0" xfId="1" applyNumberFormat="1" applyFont="1" applyFill="1" applyBorder="1"/>
    <xf numFmtId="175" fontId="1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18" fillId="2" borderId="0" xfId="0" applyFont="1" applyFill="1"/>
    <xf numFmtId="1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9" fontId="15" fillId="2" borderId="0" xfId="1" applyNumberFormat="1" applyFont="1" applyFill="1"/>
    <xf numFmtId="169" fontId="15" fillId="2" borderId="4" xfId="1" applyNumberFormat="1" applyFont="1" applyFill="1" applyBorder="1"/>
    <xf numFmtId="0" fontId="3" fillId="0" borderId="4" xfId="4" applyFont="1" applyBorder="1"/>
    <xf numFmtId="43" fontId="15" fillId="2" borderId="4" xfId="0" applyNumberFormat="1" applyFont="1" applyFill="1" applyBorder="1"/>
    <xf numFmtId="0" fontId="17" fillId="2" borderId="4" xfId="0" applyFont="1" applyFill="1" applyBorder="1"/>
    <xf numFmtId="169" fontId="17" fillId="2" borderId="4" xfId="1" applyNumberFormat="1" applyFont="1" applyFill="1" applyBorder="1"/>
    <xf numFmtId="43" fontId="15" fillId="2" borderId="0" xfId="0" applyNumberFormat="1" applyFont="1" applyFill="1"/>
    <xf numFmtId="0" fontId="17" fillId="2" borderId="0" xfId="0" applyFont="1" applyFill="1"/>
    <xf numFmtId="176" fontId="17" fillId="2" borderId="0" xfId="0" applyNumberFormat="1" applyFont="1" applyFill="1"/>
    <xf numFmtId="0" fontId="17" fillId="2" borderId="0" xfId="0" applyFont="1" applyFill="1" applyBorder="1"/>
    <xf numFmtId="169" fontId="15" fillId="2" borderId="4" xfId="0" applyNumberFormat="1" applyFont="1" applyFill="1" applyBorder="1"/>
    <xf numFmtId="169" fontId="17" fillId="2" borderId="0" xfId="0" applyNumberFormat="1" applyFont="1" applyFill="1" applyBorder="1"/>
    <xf numFmtId="9" fontId="15" fillId="2" borderId="0" xfId="3" applyFont="1" applyFill="1"/>
    <xf numFmtId="0" fontId="6" fillId="3" borderId="0" xfId="0" applyFont="1" applyFill="1"/>
    <xf numFmtId="164" fontId="6" fillId="8" borderId="0" xfId="0" applyNumberFormat="1" applyFont="1" applyFill="1" applyAlignment="1">
      <alignment horizontal="center"/>
    </xf>
    <xf numFmtId="164" fontId="6" fillId="9" borderId="0" xfId="4" applyNumberFormat="1" applyFont="1" applyFill="1" applyBorder="1" applyAlignment="1">
      <alignment horizontal="center"/>
    </xf>
    <xf numFmtId="164" fontId="6" fillId="9" borderId="0" xfId="4" applyNumberFormat="1" applyFont="1" applyFill="1" applyAlignment="1">
      <alignment horizontal="center"/>
    </xf>
    <xf numFmtId="164" fontId="6" fillId="9" borderId="0" xfId="4" applyNumberFormat="1" applyFont="1" applyFill="1"/>
    <xf numFmtId="177" fontId="3" fillId="2" borderId="0" xfId="0" applyNumberFormat="1" applyFont="1" applyFill="1"/>
  </cellXfs>
  <cellStyles count="6">
    <cellStyle name="Comma" xfId="1" builtinId="3"/>
    <cellStyle name="Comma 2" xfId="5" xr:uid="{8892E015-BD9D-D449-B720-86AC5F2ACE54}"/>
    <cellStyle name="Currency" xfId="2" builtinId="4"/>
    <cellStyle name="Normal" xfId="0" builtinId="0"/>
    <cellStyle name="Normal 2" xfId="4" xr:uid="{8C0ECB04-BB34-C445-BF46-A6AA8867EF35}"/>
    <cellStyle name="Percent" xfId="3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hers/Banks%20resource/Banks-03-SHAW-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-Model"/>
      <sheetName val="Loans"/>
      <sheetName val="1H-Stub"/>
      <sheetName val="Capital"/>
      <sheetName val="Summary"/>
      <sheetName val="Val-Graph"/>
      <sheetName val="DDM"/>
      <sheetName val="Res-Inc"/>
      <sheetName val="Cost-Equity"/>
      <sheetName val="Regression"/>
      <sheetName val="Public-Comps"/>
      <sheetName val="Graphs"/>
      <sheetName val="Pub-Comps-Data"/>
      <sheetName val="MA-Comps"/>
      <sheetName val="Inputs"/>
    </sheetNames>
    <sheetDataSet>
      <sheetData sheetId="0">
        <row r="7">
          <cell r="D7" t="str">
            <v>Shawbrook Group PLC</v>
          </cell>
        </row>
        <row r="8">
          <cell r="D8" t="str">
            <v>SHAW</v>
          </cell>
          <cell r="J8">
            <v>250</v>
          </cell>
        </row>
        <row r="9">
          <cell r="J9">
            <v>3.274</v>
          </cell>
        </row>
        <row r="10">
          <cell r="D10">
            <v>42004</v>
          </cell>
        </row>
        <row r="11">
          <cell r="D11">
            <v>42185</v>
          </cell>
        </row>
        <row r="12">
          <cell r="D12">
            <v>42265</v>
          </cell>
        </row>
        <row r="14">
          <cell r="D14">
            <v>0.13</v>
          </cell>
        </row>
        <row r="15">
          <cell r="D15">
            <v>0.2</v>
          </cell>
        </row>
        <row r="17">
          <cell r="D17">
            <v>1000</v>
          </cell>
        </row>
        <row r="19">
          <cell r="D19" t="str">
            <v>Base</v>
          </cell>
        </row>
        <row r="20">
          <cell r="D20">
            <v>1</v>
          </cell>
        </row>
      </sheetData>
      <sheetData sheetId="1"/>
      <sheetData sheetId="2"/>
      <sheetData sheetId="3"/>
      <sheetData sheetId="4"/>
      <sheetData sheetId="5"/>
      <sheetData sheetId="6">
        <row r="16">
          <cell r="D16">
            <v>0.28493150684931506</v>
          </cell>
        </row>
      </sheetData>
      <sheetData sheetId="7"/>
      <sheetData sheetId="8">
        <row r="7">
          <cell r="E7">
            <v>1.9400000000000001E-2</v>
          </cell>
        </row>
      </sheetData>
      <sheetData sheetId="9"/>
      <sheetData sheetId="10"/>
      <sheetData sheetId="11"/>
      <sheetData sheetId="12">
        <row r="1">
          <cell r="G1" t="str">
            <v>STB</v>
          </cell>
          <cell r="L1" t="str">
            <v>ALD</v>
          </cell>
          <cell r="Q1" t="str">
            <v>OSB</v>
          </cell>
          <cell r="V1" t="str">
            <v>VM.</v>
          </cell>
          <cell r="AA1" t="str">
            <v>SHAW</v>
          </cell>
        </row>
        <row r="2">
          <cell r="G2" t="str">
            <v>Secure Trust Bank Plc</v>
          </cell>
          <cell r="L2" t="str">
            <v>Aldermore Group PLC</v>
          </cell>
          <cell r="Q2" t="str">
            <v>OneSavings Bank PLC</v>
          </cell>
          <cell r="V2" t="str">
            <v>Virgin Money Holdings PLC</v>
          </cell>
          <cell r="AA2" t="str">
            <v>Shawbrook Group PLC</v>
          </cell>
        </row>
        <row r="3">
          <cell r="D3" t="str">
            <v>Calendarization</v>
          </cell>
          <cell r="I3" t="str">
            <v>Calendarization</v>
          </cell>
          <cell r="N3" t="str">
            <v>Calendarization</v>
          </cell>
          <cell r="S3" t="str">
            <v>Calendarization</v>
          </cell>
          <cell r="X3" t="str">
            <v>Calendarization</v>
          </cell>
        </row>
        <row r="4">
          <cell r="D4">
            <v>41820</v>
          </cell>
          <cell r="E4">
            <v>42185</v>
          </cell>
          <cell r="F4">
            <v>42004</v>
          </cell>
          <cell r="G4">
            <v>42185</v>
          </cell>
          <cell r="I4">
            <v>41820</v>
          </cell>
          <cell r="J4">
            <v>42185</v>
          </cell>
          <cell r="K4">
            <v>42004</v>
          </cell>
          <cell r="L4">
            <v>42185</v>
          </cell>
          <cell r="N4">
            <v>41820</v>
          </cell>
          <cell r="O4">
            <v>42185</v>
          </cell>
          <cell r="P4">
            <v>42004</v>
          </cell>
          <cell r="Q4">
            <v>42185</v>
          </cell>
          <cell r="S4">
            <v>41820</v>
          </cell>
          <cell r="T4">
            <v>42185</v>
          </cell>
          <cell r="U4">
            <v>42004</v>
          </cell>
          <cell r="V4">
            <v>42185</v>
          </cell>
          <cell r="X4">
            <v>41820</v>
          </cell>
          <cell r="Y4">
            <v>42185</v>
          </cell>
          <cell r="Z4">
            <v>42004</v>
          </cell>
          <cell r="AA4">
            <v>42185</v>
          </cell>
        </row>
        <row r="5">
          <cell r="D5" t="str">
            <v>Old Partial</v>
          </cell>
          <cell r="E5" t="str">
            <v>New Partial</v>
          </cell>
          <cell r="F5" t="str">
            <v>Full Year</v>
          </cell>
          <cell r="G5" t="str">
            <v>LTM</v>
          </cell>
          <cell r="I5" t="str">
            <v>Old Partial</v>
          </cell>
          <cell r="J5" t="str">
            <v>New Partial</v>
          </cell>
          <cell r="K5" t="str">
            <v>Full Year</v>
          </cell>
          <cell r="L5" t="str">
            <v>LTM</v>
          </cell>
          <cell r="N5" t="str">
            <v>Old Partial</v>
          </cell>
          <cell r="O5" t="str">
            <v>New Partial</v>
          </cell>
          <cell r="P5" t="str">
            <v>Full Year</v>
          </cell>
          <cell r="Q5" t="str">
            <v>LTM</v>
          </cell>
          <cell r="S5" t="str">
            <v>Old Partial</v>
          </cell>
          <cell r="T5" t="str">
            <v>New Partial</v>
          </cell>
          <cell r="U5" t="str">
            <v>Full Year</v>
          </cell>
          <cell r="V5" t="str">
            <v>LTM</v>
          </cell>
          <cell r="X5" t="str">
            <v>Old Partial</v>
          </cell>
          <cell r="Y5" t="str">
            <v>New Partial</v>
          </cell>
          <cell r="Z5" t="str">
            <v>FY</v>
          </cell>
          <cell r="AA5" t="str">
            <v>LTM</v>
          </cell>
        </row>
        <row r="6">
          <cell r="D6">
            <v>11.4</v>
          </cell>
          <cell r="E6">
            <v>16</v>
          </cell>
          <cell r="F6">
            <v>26.1</v>
          </cell>
          <cell r="G6">
            <v>30.700000000000003</v>
          </cell>
          <cell r="I6">
            <v>18.608000000000001</v>
          </cell>
          <cell r="J6">
            <v>39.54</v>
          </cell>
          <cell r="K6">
            <v>50.305</v>
          </cell>
          <cell r="L6">
            <v>71.236999999999995</v>
          </cell>
          <cell r="N6">
            <v>24.817</v>
          </cell>
          <cell r="O6">
            <v>46.597000000000001</v>
          </cell>
          <cell r="P6">
            <v>63.744999999999997</v>
          </cell>
          <cell r="Q6">
            <v>85.525000000000006</v>
          </cell>
          <cell r="S6">
            <v>6.7</v>
          </cell>
          <cell r="T6">
            <v>55</v>
          </cell>
          <cell r="U6">
            <v>34</v>
          </cell>
          <cell r="V6">
            <v>82.3</v>
          </cell>
          <cell r="X6">
            <v>13.399999999999995</v>
          </cell>
          <cell r="Y6">
            <v>24.700000000000017</v>
          </cell>
          <cell r="Z6">
            <v>45.300000000000026</v>
          </cell>
          <cell r="AA6">
            <v>56.600000000000051</v>
          </cell>
        </row>
        <row r="7">
          <cell r="D7">
            <v>-3</v>
          </cell>
          <cell r="E7">
            <v>-3.1</v>
          </cell>
          <cell r="F7">
            <v>-5.6</v>
          </cell>
          <cell r="G7">
            <v>-5.6999999999999993</v>
          </cell>
          <cell r="I7">
            <v>-4.3639999999999999</v>
          </cell>
          <cell r="J7">
            <v>-8.2989999999999995</v>
          </cell>
          <cell r="K7">
            <v>-11.871</v>
          </cell>
          <cell r="L7">
            <v>-15.806000000000001</v>
          </cell>
          <cell r="N7">
            <v>-4.4790000000000001</v>
          </cell>
          <cell r="O7">
            <v>-9.6159999999999997</v>
          </cell>
          <cell r="P7">
            <v>-12.208</v>
          </cell>
          <cell r="Q7">
            <v>-17.344999999999999</v>
          </cell>
          <cell r="S7">
            <v>-15.1</v>
          </cell>
          <cell r="T7">
            <v>-12.1</v>
          </cell>
          <cell r="U7">
            <v>-25.3</v>
          </cell>
          <cell r="V7">
            <v>-22.299999999999997</v>
          </cell>
          <cell r="X7">
            <v>-3.5</v>
          </cell>
          <cell r="Y7">
            <v>-5.9</v>
          </cell>
          <cell r="Z7">
            <v>-10.8</v>
          </cell>
          <cell r="AA7">
            <v>-13.200000000000003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-3.4649999999999999</v>
          </cell>
          <cell r="K8">
            <v>0</v>
          </cell>
          <cell r="L8">
            <v>-3.4649999999999999</v>
          </cell>
          <cell r="N8">
            <v>-0.72499999999999998</v>
          </cell>
          <cell r="O8">
            <v>-0.72499999999999998</v>
          </cell>
          <cell r="P8">
            <v>-1.45</v>
          </cell>
          <cell r="Q8">
            <v>-1.4499999999999997</v>
          </cell>
          <cell r="S8">
            <v>-6.8</v>
          </cell>
          <cell r="T8">
            <v>-5</v>
          </cell>
          <cell r="U8">
            <v>-10.3</v>
          </cell>
          <cell r="V8">
            <v>-8.5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8.4</v>
          </cell>
          <cell r="E9">
            <v>12.9</v>
          </cell>
          <cell r="F9">
            <v>20.5</v>
          </cell>
          <cell r="G9">
            <v>25</v>
          </cell>
          <cell r="I9">
            <v>14.244</v>
          </cell>
          <cell r="J9">
            <v>27.776</v>
          </cell>
          <cell r="K9">
            <v>38.433999999999997</v>
          </cell>
          <cell r="L9">
            <v>51.965999999999994</v>
          </cell>
          <cell r="N9">
            <v>19.613</v>
          </cell>
          <cell r="O9">
            <v>36.256</v>
          </cell>
          <cell r="P9">
            <v>50.086999999999996</v>
          </cell>
          <cell r="Q9">
            <v>66.72999999999999</v>
          </cell>
          <cell r="S9">
            <v>-15.2</v>
          </cell>
          <cell r="T9">
            <v>37.9</v>
          </cell>
          <cell r="U9">
            <v>-1.6000000000000014</v>
          </cell>
          <cell r="V9">
            <v>51.5</v>
          </cell>
          <cell r="X9">
            <v>9.899999999999995</v>
          </cell>
          <cell r="Y9">
            <v>18.800000000000018</v>
          </cell>
          <cell r="Z9">
            <v>34.500000000000028</v>
          </cell>
          <cell r="AA9">
            <v>43.400000000000048</v>
          </cell>
        </row>
        <row r="10">
          <cell r="D10">
            <v>0.26315789473684209</v>
          </cell>
          <cell r="E10">
            <v>0.19375000000000001</v>
          </cell>
          <cell r="F10">
            <v>0.21455938697318006</v>
          </cell>
          <cell r="G10">
            <v>0.18566775244299671</v>
          </cell>
          <cell r="I10">
            <v>0.23452278589853826</v>
          </cell>
          <cell r="J10">
            <v>0.20988872028325745</v>
          </cell>
          <cell r="K10">
            <v>0.23598051883510587</v>
          </cell>
          <cell r="L10">
            <v>0.22187907969173326</v>
          </cell>
          <cell r="N10">
            <v>0.18048112181166137</v>
          </cell>
          <cell r="O10">
            <v>0.20636521664484836</v>
          </cell>
          <cell r="P10">
            <v>0.19151305984783121</v>
          </cell>
          <cell r="Q10">
            <v>0.20280619701841565</v>
          </cell>
          <cell r="S10">
            <v>0.215</v>
          </cell>
          <cell r="T10">
            <v>0.22</v>
          </cell>
          <cell r="U10">
            <v>0.215</v>
          </cell>
          <cell r="V10">
            <v>0.27095990279465371</v>
          </cell>
          <cell r="X10">
            <v>0.26119402985074636</v>
          </cell>
          <cell r="Y10">
            <v>0.23886639676113344</v>
          </cell>
          <cell r="Z10">
            <v>0.23841059602648995</v>
          </cell>
          <cell r="AA10">
            <v>0.23321554770318006</v>
          </cell>
        </row>
        <row r="12">
          <cell r="D12">
            <v>11.4</v>
          </cell>
          <cell r="E12">
            <v>16</v>
          </cell>
          <cell r="F12">
            <v>26.1</v>
          </cell>
          <cell r="G12">
            <v>30.700000000000003</v>
          </cell>
          <cell r="I12">
            <v>18.608000000000001</v>
          </cell>
          <cell r="J12">
            <v>39.54</v>
          </cell>
          <cell r="K12">
            <v>50.305</v>
          </cell>
          <cell r="L12">
            <v>71.236999999999995</v>
          </cell>
          <cell r="N12">
            <v>24.817</v>
          </cell>
          <cell r="O12">
            <v>46.597000000000001</v>
          </cell>
          <cell r="P12">
            <v>63.744999999999997</v>
          </cell>
          <cell r="Q12">
            <v>85.525000000000006</v>
          </cell>
          <cell r="S12">
            <v>6.7</v>
          </cell>
          <cell r="T12">
            <v>55</v>
          </cell>
          <cell r="U12">
            <v>34</v>
          </cell>
          <cell r="V12">
            <v>82.3</v>
          </cell>
          <cell r="X12">
            <v>13.399999999999995</v>
          </cell>
          <cell r="Y12">
            <v>24.700000000000017</v>
          </cell>
          <cell r="Z12">
            <v>45.300000000000026</v>
          </cell>
          <cell r="AA12">
            <v>56.600000000000051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2.2309999999999999</v>
          </cell>
          <cell r="J13">
            <v>4.0789999999999997</v>
          </cell>
          <cell r="K13">
            <v>6.0140000000000002</v>
          </cell>
          <cell r="L13">
            <v>7.8620000000000001</v>
          </cell>
          <cell r="N13">
            <v>5.5759999999999996</v>
          </cell>
          <cell r="O13">
            <v>1.6950000000000001</v>
          </cell>
          <cell r="P13">
            <v>7.4279999999999999</v>
          </cell>
          <cell r="Q13">
            <v>3.5469999999999997</v>
          </cell>
          <cell r="S13">
            <v>27.3</v>
          </cell>
          <cell r="T13">
            <v>0</v>
          </cell>
          <cell r="U13">
            <v>49.6</v>
          </cell>
          <cell r="V13">
            <v>22.3</v>
          </cell>
          <cell r="X13">
            <v>0.6</v>
          </cell>
          <cell r="Y13">
            <v>4.2</v>
          </cell>
          <cell r="Z13">
            <v>0.6</v>
          </cell>
          <cell r="AA13">
            <v>4.2</v>
          </cell>
        </row>
        <row r="14">
          <cell r="D14">
            <v>11.4</v>
          </cell>
          <cell r="E14">
            <v>16</v>
          </cell>
          <cell r="F14">
            <v>26.1</v>
          </cell>
          <cell r="G14">
            <v>30.700000000000003</v>
          </cell>
          <cell r="I14">
            <v>20.838999999999999</v>
          </cell>
          <cell r="J14">
            <v>43.619</v>
          </cell>
          <cell r="K14">
            <v>56.319000000000003</v>
          </cell>
          <cell r="L14">
            <v>79.099000000000004</v>
          </cell>
          <cell r="N14">
            <v>30.393000000000001</v>
          </cell>
          <cell r="O14">
            <v>48.292000000000002</v>
          </cell>
          <cell r="P14">
            <v>71.173000000000002</v>
          </cell>
          <cell r="Q14">
            <v>89.072000000000003</v>
          </cell>
          <cell r="S14">
            <v>34</v>
          </cell>
          <cell r="T14">
            <v>55</v>
          </cell>
          <cell r="U14">
            <v>83.6</v>
          </cell>
          <cell r="V14">
            <v>104.6</v>
          </cell>
          <cell r="X14">
            <v>13.999999999999995</v>
          </cell>
          <cell r="Y14">
            <v>28.900000000000016</v>
          </cell>
          <cell r="Z14">
            <v>45.900000000000027</v>
          </cell>
          <cell r="AA14">
            <v>60.800000000000047</v>
          </cell>
        </row>
        <row r="16">
          <cell r="D16">
            <v>8.4</v>
          </cell>
          <cell r="E16">
            <v>12.9</v>
          </cell>
          <cell r="F16">
            <v>20.5</v>
          </cell>
          <cell r="G16">
            <v>25</v>
          </cell>
          <cell r="I16">
            <v>15.951779664660361</v>
          </cell>
          <cell r="J16">
            <v>30.998863909964594</v>
          </cell>
          <cell r="K16">
            <v>43.028813159725679</v>
          </cell>
          <cell r="L16">
            <v>58.075897405029906</v>
          </cell>
          <cell r="N16">
            <v>24.182637264778176</v>
          </cell>
          <cell r="O16">
            <v>37.601210957786982</v>
          </cell>
          <cell r="P16">
            <v>56.09244099145031</v>
          </cell>
          <cell r="Q16">
            <v>69.511014684459113</v>
          </cell>
          <cell r="S16">
            <v>19.89</v>
          </cell>
          <cell r="T16">
            <v>37.9</v>
          </cell>
          <cell r="U16">
            <v>55.326000000000008</v>
          </cell>
          <cell r="V16">
            <v>73.335999999999999</v>
          </cell>
          <cell r="X16">
            <v>10.343283582089548</v>
          </cell>
          <cell r="Y16">
            <v>21.996761133603258</v>
          </cell>
          <cell r="Z16">
            <v>34.956953642384128</v>
          </cell>
          <cell r="AA16">
            <v>46.610431193897838</v>
          </cell>
        </row>
        <row r="17">
          <cell r="D17">
            <v>7.4</v>
          </cell>
          <cell r="E17">
            <v>9.5</v>
          </cell>
          <cell r="F17">
            <v>10.199999999999999</v>
          </cell>
          <cell r="G17">
            <v>12.299999999999999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9.48</v>
          </cell>
          <cell r="P17">
            <v>0</v>
          </cell>
          <cell r="Q17">
            <v>9.48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0.88095238095238093</v>
          </cell>
          <cell r="E18">
            <v>0.73643410852713176</v>
          </cell>
          <cell r="F18">
            <v>0.49756097560975604</v>
          </cell>
          <cell r="G18">
            <v>0.49199999999999994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0.25211953973085405</v>
          </cell>
          <cell r="P18">
            <v>0</v>
          </cell>
          <cell r="Q18">
            <v>0.13638126335853196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20">
          <cell r="G20">
            <v>0.2</v>
          </cell>
          <cell r="L20">
            <v>0.2</v>
          </cell>
          <cell r="Q20">
            <v>0.2</v>
          </cell>
          <cell r="V20">
            <v>0.2</v>
          </cell>
          <cell r="AA20">
            <v>0.2</v>
          </cell>
        </row>
        <row r="22">
          <cell r="D22" t="str">
            <v>Balance Sheet Data:</v>
          </cell>
          <cell r="I22" t="str">
            <v>Balance Sheet Data:</v>
          </cell>
          <cell r="N22" t="str">
            <v>Balance Sheet Data:</v>
          </cell>
          <cell r="S22" t="str">
            <v>Balance Sheet Data:</v>
          </cell>
          <cell r="X22" t="str">
            <v>Balance Sheet Data:</v>
          </cell>
        </row>
        <row r="23">
          <cell r="D23">
            <v>41820</v>
          </cell>
          <cell r="E23">
            <v>42185</v>
          </cell>
          <cell r="F23">
            <v>42004</v>
          </cell>
          <cell r="G23">
            <v>42185</v>
          </cell>
          <cell r="I23">
            <v>41820</v>
          </cell>
          <cell r="J23">
            <v>42185</v>
          </cell>
          <cell r="K23">
            <v>42004</v>
          </cell>
          <cell r="L23">
            <v>42185</v>
          </cell>
          <cell r="N23">
            <v>41820</v>
          </cell>
          <cell r="O23">
            <v>42185</v>
          </cell>
          <cell r="P23">
            <v>42004</v>
          </cell>
          <cell r="Q23">
            <v>42185</v>
          </cell>
          <cell r="S23">
            <v>41820</v>
          </cell>
          <cell r="T23">
            <v>42185</v>
          </cell>
          <cell r="U23">
            <v>42004</v>
          </cell>
          <cell r="V23">
            <v>42185</v>
          </cell>
          <cell r="X23">
            <v>41820</v>
          </cell>
          <cell r="Y23">
            <v>42185</v>
          </cell>
          <cell r="Z23">
            <v>42004</v>
          </cell>
          <cell r="AA23">
            <v>42185</v>
          </cell>
        </row>
        <row r="24">
          <cell r="D24">
            <v>569.4</v>
          </cell>
          <cell r="E24">
            <v>1002.8</v>
          </cell>
          <cell r="F24">
            <v>782.3</v>
          </cell>
          <cell r="G24">
            <v>1002.8</v>
          </cell>
          <cell r="J24">
            <v>6261.7160000000003</v>
          </cell>
          <cell r="K24">
            <v>5565.2430000000004</v>
          </cell>
          <cell r="L24">
            <v>6261.7160000000003</v>
          </cell>
          <cell r="N24">
            <v>4219.2</v>
          </cell>
          <cell r="O24">
            <v>5228.16</v>
          </cell>
          <cell r="P24">
            <v>4936.527</v>
          </cell>
          <cell r="Q24">
            <v>5228.16</v>
          </cell>
          <cell r="S24">
            <v>24145</v>
          </cell>
          <cell r="T24">
            <v>27781.8</v>
          </cell>
          <cell r="U24">
            <v>26536.799999999999</v>
          </cell>
          <cell r="V24">
            <v>27781.8</v>
          </cell>
          <cell r="X24">
            <v>2394.7999999999997</v>
          </cell>
          <cell r="Y24">
            <v>3057.1</v>
          </cell>
          <cell r="Z24">
            <v>2754.0000000000005</v>
          </cell>
          <cell r="AA24">
            <v>3057.1</v>
          </cell>
        </row>
        <row r="25">
          <cell r="D25">
            <v>9.1999999999999993</v>
          </cell>
          <cell r="E25">
            <v>7.5</v>
          </cell>
          <cell r="F25">
            <v>8.1999999999999993</v>
          </cell>
          <cell r="G25">
            <v>7.5</v>
          </cell>
          <cell r="J25">
            <v>23.068000000000001</v>
          </cell>
          <cell r="K25">
            <v>22.571000000000002</v>
          </cell>
          <cell r="L25">
            <v>23.068000000000001</v>
          </cell>
          <cell r="N25">
            <v>1.54</v>
          </cell>
          <cell r="O25">
            <v>2.778</v>
          </cell>
          <cell r="P25">
            <v>2.3050000000000002</v>
          </cell>
          <cell r="Q25">
            <v>2.778</v>
          </cell>
          <cell r="S25">
            <v>34.200000000000003</v>
          </cell>
          <cell r="T25">
            <v>52</v>
          </cell>
          <cell r="U25">
            <v>46.1</v>
          </cell>
          <cell r="V25">
            <v>52</v>
          </cell>
          <cell r="X25">
            <v>46.9</v>
          </cell>
          <cell r="Y25">
            <v>51.5</v>
          </cell>
          <cell r="Z25">
            <v>49.5</v>
          </cell>
          <cell r="AA25">
            <v>51.5</v>
          </cell>
        </row>
        <row r="27">
          <cell r="D27">
            <v>63.3</v>
          </cell>
          <cell r="E27">
            <v>128.4</v>
          </cell>
          <cell r="F27">
            <v>124.9</v>
          </cell>
          <cell r="G27">
            <v>128.4</v>
          </cell>
          <cell r="J27">
            <v>406.65800000000002</v>
          </cell>
          <cell r="K27">
            <v>305.19300000000004</v>
          </cell>
          <cell r="L27">
            <v>406.65800000000002</v>
          </cell>
          <cell r="N27">
            <v>194.011</v>
          </cell>
          <cell r="O27">
            <v>255.077</v>
          </cell>
          <cell r="P27">
            <v>227.60400000000001</v>
          </cell>
          <cell r="Q27">
            <v>255.077</v>
          </cell>
          <cell r="S27">
            <v>921.3</v>
          </cell>
          <cell r="T27">
            <v>1129.8</v>
          </cell>
          <cell r="U27">
            <v>1087.3</v>
          </cell>
          <cell r="V27">
            <v>1129.8</v>
          </cell>
          <cell r="X27">
            <v>194.1</v>
          </cell>
          <cell r="Y27">
            <v>327.29999999999995</v>
          </cell>
          <cell r="Z27">
            <v>218.7</v>
          </cell>
          <cell r="AA27">
            <v>327.29999999999995</v>
          </cell>
        </row>
        <row r="28">
          <cell r="D28">
            <v>54.099999999999994</v>
          </cell>
          <cell r="E28">
            <v>120.9</v>
          </cell>
          <cell r="F28">
            <v>116.7</v>
          </cell>
          <cell r="G28">
            <v>120.9</v>
          </cell>
          <cell r="I28">
            <v>264.09375</v>
          </cell>
          <cell r="J28">
            <v>383.59000000000003</v>
          </cell>
          <cell r="K28">
            <v>282.62200000000001</v>
          </cell>
          <cell r="L28">
            <v>383.59000000000003</v>
          </cell>
          <cell r="N28">
            <v>192.471</v>
          </cell>
          <cell r="O28">
            <v>252.29900000000001</v>
          </cell>
          <cell r="P28">
            <v>225.29900000000001</v>
          </cell>
          <cell r="Q28">
            <v>252.29900000000001</v>
          </cell>
          <cell r="S28">
            <v>887.09999999999991</v>
          </cell>
          <cell r="T28">
            <v>1077.8</v>
          </cell>
          <cell r="U28">
            <v>1041.2</v>
          </cell>
          <cell r="V28">
            <v>1077.8</v>
          </cell>
          <cell r="X28">
            <v>147.19999999999999</v>
          </cell>
          <cell r="Y28">
            <v>275.79999999999995</v>
          </cell>
          <cell r="Z28">
            <v>169.2</v>
          </cell>
          <cell r="AA28">
            <v>275.79999999999995</v>
          </cell>
        </row>
        <row r="30">
          <cell r="D30">
            <v>61.526180944755801</v>
          </cell>
          <cell r="E30">
            <v>124.80192153722979</v>
          </cell>
          <cell r="F30">
            <v>121.4</v>
          </cell>
          <cell r="G30">
            <v>124.80192153722979</v>
          </cell>
          <cell r="I30">
            <v>264.09375</v>
          </cell>
          <cell r="J30">
            <v>382.95600000000002</v>
          </cell>
          <cell r="K30">
            <v>281.24700000000001</v>
          </cell>
          <cell r="L30">
            <v>382.95600000000002</v>
          </cell>
          <cell r="N30">
            <v>178.88300000000001</v>
          </cell>
          <cell r="O30">
            <v>237.63800000000001</v>
          </cell>
          <cell r="P30">
            <v>207.785</v>
          </cell>
          <cell r="Q30">
            <v>237.63800000000001</v>
          </cell>
          <cell r="S30">
            <v>792.4</v>
          </cell>
          <cell r="T30">
            <v>1013.2</v>
          </cell>
          <cell r="U30">
            <v>980.5</v>
          </cell>
          <cell r="V30">
            <v>1013.2</v>
          </cell>
          <cell r="X30">
            <v>147.19999999999999</v>
          </cell>
          <cell r="Y30">
            <v>275.79999999999995</v>
          </cell>
          <cell r="Z30">
            <v>169.2</v>
          </cell>
          <cell r="AA30">
            <v>275.79999999999995</v>
          </cell>
        </row>
        <row r="31">
          <cell r="D31">
            <v>466.10743139966513</v>
          </cell>
          <cell r="E31">
            <v>832.01281024819866</v>
          </cell>
          <cell r="F31">
            <v>649.79999999999995</v>
          </cell>
          <cell r="G31">
            <v>832.01281024819866</v>
          </cell>
          <cell r="I31">
            <v>2347.5</v>
          </cell>
          <cell r="J31">
            <v>3191.3</v>
          </cell>
          <cell r="K31">
            <v>2702</v>
          </cell>
          <cell r="L31">
            <v>3191.3</v>
          </cell>
          <cell r="N31">
            <v>1631.6</v>
          </cell>
          <cell r="O31">
            <v>2162.5</v>
          </cell>
          <cell r="P31">
            <v>1829.3</v>
          </cell>
          <cell r="Q31">
            <v>2162.5</v>
          </cell>
          <cell r="S31">
            <v>5532</v>
          </cell>
          <cell r="T31">
            <v>5420.1</v>
          </cell>
          <cell r="U31">
            <v>5160.6000000000004</v>
          </cell>
          <cell r="V31">
            <v>5420.1</v>
          </cell>
          <cell r="X31">
            <v>1231.4000000000001</v>
          </cell>
          <cell r="Y31">
            <v>1813.1</v>
          </cell>
          <cell r="Z31">
            <v>1461</v>
          </cell>
          <cell r="AA31">
            <v>1813.1</v>
          </cell>
        </row>
        <row r="32">
          <cell r="D32">
            <v>0.13200000000000001</v>
          </cell>
          <cell r="E32">
            <v>0.15</v>
          </cell>
          <cell r="F32">
            <v>0.18682671591258851</v>
          </cell>
          <cell r="G32">
            <v>0.15</v>
          </cell>
          <cell r="I32">
            <v>0.1125</v>
          </cell>
          <cell r="J32">
            <v>0.12</v>
          </cell>
          <cell r="K32">
            <v>0.10408845299777943</v>
          </cell>
          <cell r="L32">
            <v>0.12</v>
          </cell>
          <cell r="N32">
            <v>0.10963655307673451</v>
          </cell>
          <cell r="O32">
            <v>0.10989040462427746</v>
          </cell>
          <cell r="P32">
            <v>0.11358716448914885</v>
          </cell>
          <cell r="Q32">
            <v>0.10989040462427746</v>
          </cell>
          <cell r="S32">
            <v>0.14323933477946493</v>
          </cell>
          <cell r="T32">
            <v>0.18693382040921755</v>
          </cell>
          <cell r="U32">
            <v>0.18999728713715458</v>
          </cell>
          <cell r="V32">
            <v>0.18693382040921755</v>
          </cell>
          <cell r="X32">
            <v>0.11953873639759621</v>
          </cell>
          <cell r="Y32">
            <v>0.15211516187744745</v>
          </cell>
          <cell r="Z32">
            <v>0.11581108829568788</v>
          </cell>
          <cell r="AA32">
            <v>0.15211516187744745</v>
          </cell>
        </row>
        <row r="34">
          <cell r="D34">
            <v>0.97197758206565255</v>
          </cell>
          <cell r="E34">
            <v>0.97197758206565255</v>
          </cell>
          <cell r="F34">
            <v>0.97197758206565255</v>
          </cell>
          <cell r="G34">
            <v>0.97197758206565255</v>
          </cell>
        </row>
        <row r="35">
          <cell r="D35">
            <v>0.85466034755134279</v>
          </cell>
          <cell r="E35">
            <v>0.94158878504672894</v>
          </cell>
          <cell r="F35">
            <v>0.93434747798238593</v>
          </cell>
          <cell r="G35">
            <v>0.94158878504672894</v>
          </cell>
          <cell r="J35">
            <v>0.94327420092559355</v>
          </cell>
          <cell r="K35">
            <v>0.926043520002097</v>
          </cell>
          <cell r="L35">
            <v>0.94327420092559355</v>
          </cell>
          <cell r="N35">
            <v>0.99206230574555054</v>
          </cell>
          <cell r="O35">
            <v>0.98910917095622108</v>
          </cell>
          <cell r="P35">
            <v>0.98987276146289171</v>
          </cell>
          <cell r="Q35">
            <v>0.98910917095622108</v>
          </cell>
        </row>
        <row r="37">
          <cell r="D37" t="str">
            <v>Adjustments for Excess / (Deficit) Capital:</v>
          </cell>
          <cell r="I37" t="str">
            <v>Adjustments for Excess / (Deficit) Capital:</v>
          </cell>
          <cell r="N37" t="str">
            <v>Adjustments for Excess / (Deficit) Capital:</v>
          </cell>
          <cell r="S37" t="str">
            <v>Adjustments for Excess / (Deficit) Capital:</v>
          </cell>
          <cell r="X37" t="str">
            <v>Adjustments for Excess / (Deficit) Capital:</v>
          </cell>
        </row>
        <row r="38">
          <cell r="D38">
            <v>41820</v>
          </cell>
          <cell r="E38">
            <v>42185</v>
          </cell>
          <cell r="F38">
            <v>42004</v>
          </cell>
          <cell r="G38">
            <v>42185</v>
          </cell>
          <cell r="I38">
            <v>41820</v>
          </cell>
          <cell r="J38">
            <v>42185</v>
          </cell>
          <cell r="K38">
            <v>42004</v>
          </cell>
          <cell r="L38">
            <v>42185</v>
          </cell>
          <cell r="N38">
            <v>41820</v>
          </cell>
          <cell r="O38">
            <v>42185</v>
          </cell>
          <cell r="P38">
            <v>42004</v>
          </cell>
          <cell r="Q38">
            <v>42185</v>
          </cell>
          <cell r="S38">
            <v>41820</v>
          </cell>
          <cell r="T38">
            <v>42185</v>
          </cell>
          <cell r="U38">
            <v>42004</v>
          </cell>
          <cell r="V38">
            <v>42185</v>
          </cell>
          <cell r="X38">
            <v>41820</v>
          </cell>
          <cell r="Y38">
            <v>42185</v>
          </cell>
          <cell r="Z38">
            <v>42004</v>
          </cell>
          <cell r="AA38">
            <v>42185</v>
          </cell>
        </row>
        <row r="39">
          <cell r="D39">
            <v>0.13</v>
          </cell>
          <cell r="E39">
            <v>0.13</v>
          </cell>
          <cell r="F39">
            <v>0.13</v>
          </cell>
          <cell r="G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N39">
            <v>0.13</v>
          </cell>
          <cell r="O39">
            <v>0.13</v>
          </cell>
          <cell r="P39">
            <v>0.13</v>
          </cell>
          <cell r="Q39">
            <v>0.13</v>
          </cell>
          <cell r="S39">
            <v>0.13</v>
          </cell>
          <cell r="T39">
            <v>0.13</v>
          </cell>
          <cell r="U39">
            <v>0.13</v>
          </cell>
          <cell r="V39">
            <v>0.13</v>
          </cell>
          <cell r="X39">
            <v>0.13</v>
          </cell>
          <cell r="Y39">
            <v>0.13</v>
          </cell>
          <cell r="Z39">
            <v>0.13</v>
          </cell>
          <cell r="AA39">
            <v>0.13</v>
          </cell>
        </row>
        <row r="40">
          <cell r="D40">
            <v>2.0000000000000018E-3</v>
          </cell>
          <cell r="E40">
            <v>1.999999999999999E-2</v>
          </cell>
          <cell r="F40">
            <v>5.6826715912588505E-2</v>
          </cell>
          <cell r="G40">
            <v>1.999999999999999E-2</v>
          </cell>
          <cell r="I40">
            <v>-1.7500000000000002E-2</v>
          </cell>
          <cell r="J40">
            <v>-1.0000000000000009E-2</v>
          </cell>
          <cell r="K40">
            <v>-2.5911547002220578E-2</v>
          </cell>
          <cell r="L40">
            <v>-1.0000000000000009E-2</v>
          </cell>
          <cell r="N40">
            <v>-2.0363446923265499E-2</v>
          </cell>
          <cell r="O40">
            <v>-2.0109595375722544E-2</v>
          </cell>
          <cell r="P40">
            <v>-1.6412835510851154E-2</v>
          </cell>
          <cell r="Q40">
            <v>-2.0109595375722544E-2</v>
          </cell>
          <cell r="S40">
            <v>1.3239334779464929E-2</v>
          </cell>
          <cell r="T40">
            <v>5.6933820409217545E-2</v>
          </cell>
          <cell r="U40">
            <v>5.9997287137154576E-2</v>
          </cell>
          <cell r="V40">
            <v>5.6933820409217545E-2</v>
          </cell>
          <cell r="X40">
            <v>-1.0461263602403792E-2</v>
          </cell>
          <cell r="Y40">
            <v>2.2115161877447442E-2</v>
          </cell>
          <cell r="Z40">
            <v>-1.4188911704312121E-2</v>
          </cell>
          <cell r="AA40">
            <v>2.2115161877447442E-2</v>
          </cell>
        </row>
        <row r="41">
          <cell r="D41">
            <v>0.93221486279933108</v>
          </cell>
          <cell r="E41">
            <v>16.640256204963965</v>
          </cell>
          <cell r="F41">
            <v>36.926000000000009</v>
          </cell>
          <cell r="G41">
            <v>16.640256204963965</v>
          </cell>
          <cell r="I41">
            <v>-41.081250000000004</v>
          </cell>
          <cell r="J41">
            <v>-31.913000000000029</v>
          </cell>
          <cell r="K41">
            <v>-70.013000000000005</v>
          </cell>
          <cell r="L41">
            <v>-31.913000000000029</v>
          </cell>
          <cell r="N41">
            <v>-33.224999999999987</v>
          </cell>
          <cell r="O41">
            <v>-43.487000000000002</v>
          </cell>
          <cell r="P41">
            <v>-30.024000000000015</v>
          </cell>
          <cell r="Q41">
            <v>-43.487000000000002</v>
          </cell>
          <cell r="S41">
            <v>73.239999999999981</v>
          </cell>
          <cell r="T41">
            <v>308.58700000000005</v>
          </cell>
          <cell r="U41">
            <v>309.6219999999999</v>
          </cell>
          <cell r="V41">
            <v>308.58700000000005</v>
          </cell>
          <cell r="X41">
            <v>-12.88200000000003</v>
          </cell>
          <cell r="Y41">
            <v>40.096999999999959</v>
          </cell>
          <cell r="Z41">
            <v>-20.730000000000008</v>
          </cell>
          <cell r="AA41">
            <v>40.096999999999959</v>
          </cell>
        </row>
        <row r="43">
          <cell r="G43">
            <v>1.9400000000000001E-2</v>
          </cell>
          <cell r="L43">
            <v>1.9400000000000001E-2</v>
          </cell>
          <cell r="Q43">
            <v>1.9400000000000001E-2</v>
          </cell>
          <cell r="V43">
            <v>1.9400000000000001E-2</v>
          </cell>
          <cell r="AA43">
            <v>1.9400000000000001E-2</v>
          </cell>
        </row>
        <row r="44">
          <cell r="D44">
            <v>8.3866742338559845</v>
          </cell>
          <cell r="E44">
            <v>12.639725592634107</v>
          </cell>
          <cell r="F44">
            <v>19.937338306513411</v>
          </cell>
          <cell r="G44">
            <v>24.190389665291534</v>
          </cell>
          <cell r="I44">
            <v>16.56184682421539</v>
          </cell>
          <cell r="J44">
            <v>31.488031442594842</v>
          </cell>
          <cell r="K44">
            <v>44.066544300860755</v>
          </cell>
          <cell r="L44">
            <v>58.992728919240207</v>
          </cell>
          <cell r="N44">
            <v>24.710870450497641</v>
          </cell>
          <cell r="O44">
            <v>38.270759196768033</v>
          </cell>
          <cell r="P44">
            <v>56.563356822138211</v>
          </cell>
          <cell r="Q44">
            <v>70.123245568408606</v>
          </cell>
          <cell r="S44">
            <v>18.77462804</v>
          </cell>
          <cell r="T44">
            <v>33.230461515999998</v>
          </cell>
          <cell r="U44">
            <v>50.610766562000009</v>
          </cell>
          <cell r="V44">
            <v>65.066600038000004</v>
          </cell>
          <cell r="X44">
            <v>10.527919173134324</v>
          </cell>
          <cell r="Y44">
            <v>21.404689156275325</v>
          </cell>
          <cell r="Z44">
            <v>35.263235960264922</v>
          </cell>
          <cell r="AA44">
            <v>46.140005943405924</v>
          </cell>
        </row>
        <row r="45">
          <cell r="D45">
            <v>53.16778513720066</v>
          </cell>
          <cell r="E45">
            <v>104.25974379503604</v>
          </cell>
          <cell r="F45">
            <v>79.774000000000001</v>
          </cell>
          <cell r="G45">
            <v>104.25974379503604</v>
          </cell>
          <cell r="I45">
            <v>305.17500000000001</v>
          </cell>
          <cell r="J45">
            <v>415.50300000000004</v>
          </cell>
          <cell r="K45">
            <v>352.63499999999999</v>
          </cell>
          <cell r="L45">
            <v>415.50300000000004</v>
          </cell>
          <cell r="N45">
            <v>225.696</v>
          </cell>
          <cell r="O45">
            <v>295.786</v>
          </cell>
          <cell r="P45">
            <v>255.32300000000004</v>
          </cell>
          <cell r="Q45">
            <v>295.786</v>
          </cell>
          <cell r="S45">
            <v>813.8599999999999</v>
          </cell>
          <cell r="T45">
            <v>769.21299999999997</v>
          </cell>
          <cell r="U45">
            <v>731.5780000000002</v>
          </cell>
          <cell r="V45">
            <v>769.21299999999997</v>
          </cell>
          <cell r="X45">
            <v>160.08200000000002</v>
          </cell>
          <cell r="Y45">
            <v>235.703</v>
          </cell>
          <cell r="Z45">
            <v>189.93</v>
          </cell>
          <cell r="AA45">
            <v>235.703</v>
          </cell>
        </row>
        <row r="46">
          <cell r="G46">
            <v>0.30732096005526549</v>
          </cell>
          <cell r="L46">
            <v>0.1637145269294753</v>
          </cell>
          <cell r="Q46">
            <v>0.26893831644585475</v>
          </cell>
          <cell r="V46">
            <v>8.220290540992109E-2</v>
          </cell>
          <cell r="AA46">
            <v>0.23315692076963968</v>
          </cell>
        </row>
        <row r="48">
          <cell r="D48" t="str">
            <v>Equity Research Projections:</v>
          </cell>
          <cell r="I48" t="str">
            <v>Equity Research Projections:</v>
          </cell>
          <cell r="N48" t="str">
            <v>Equity Research Projections:</v>
          </cell>
          <cell r="S48" t="str">
            <v>Equity Research Projections:</v>
          </cell>
          <cell r="X48" t="str">
            <v>Equity Research Projections:</v>
          </cell>
        </row>
        <row r="49">
          <cell r="D49">
            <v>42369</v>
          </cell>
          <cell r="E49">
            <v>42735</v>
          </cell>
          <cell r="F49">
            <v>43100</v>
          </cell>
          <cell r="I49">
            <v>42369</v>
          </cell>
          <cell r="J49">
            <v>42735</v>
          </cell>
          <cell r="K49">
            <v>43100</v>
          </cell>
          <cell r="N49">
            <v>42369</v>
          </cell>
          <cell r="O49">
            <v>42735</v>
          </cell>
          <cell r="P49">
            <v>43100</v>
          </cell>
          <cell r="S49">
            <v>42369</v>
          </cell>
          <cell r="T49">
            <v>42735</v>
          </cell>
          <cell r="U49">
            <v>43100</v>
          </cell>
          <cell r="X49">
            <v>42369</v>
          </cell>
          <cell r="Y49">
            <v>42735</v>
          </cell>
          <cell r="Z49">
            <v>43100</v>
          </cell>
        </row>
        <row r="50">
          <cell r="G50" t="str">
            <v>Consensus</v>
          </cell>
          <cell r="L50" t="str">
            <v>Investec</v>
          </cell>
          <cell r="Q50" t="str">
            <v>Investec</v>
          </cell>
          <cell r="V50" t="str">
            <v>Barclays</v>
          </cell>
          <cell r="AA50" t="str">
            <v>Internal</v>
          </cell>
        </row>
        <row r="51">
          <cell r="G51">
            <v>42249</v>
          </cell>
          <cell r="L51">
            <v>42299</v>
          </cell>
          <cell r="Q51">
            <v>42269</v>
          </cell>
          <cell r="V51">
            <v>42293</v>
          </cell>
          <cell r="AA51">
            <v>42265</v>
          </cell>
        </row>
        <row r="52">
          <cell r="D52">
            <v>124.9</v>
          </cell>
          <cell r="E52">
            <v>141.55732</v>
          </cell>
          <cell r="F52">
            <v>162.69012000000001</v>
          </cell>
          <cell r="I52">
            <v>305.19300000000004</v>
          </cell>
          <cell r="J52">
            <v>381.09300000000007</v>
          </cell>
          <cell r="K52">
            <v>475.99300000000005</v>
          </cell>
          <cell r="N52">
            <v>227.60400000000001</v>
          </cell>
          <cell r="O52">
            <v>295.30400000000003</v>
          </cell>
          <cell r="P52">
            <v>367.904</v>
          </cell>
          <cell r="S52">
            <v>1087.3</v>
          </cell>
          <cell r="T52">
            <v>1171.54</v>
          </cell>
          <cell r="U52">
            <v>1281.202</v>
          </cell>
          <cell r="X52">
            <v>218.7</v>
          </cell>
          <cell r="Y52">
            <v>364.94588999198459</v>
          </cell>
          <cell r="Z52">
            <v>461.43170432014324</v>
          </cell>
        </row>
        <row r="53">
          <cell r="D53">
            <v>32.79</v>
          </cell>
          <cell r="E53">
            <v>41.6</v>
          </cell>
          <cell r="F53">
            <v>48.25</v>
          </cell>
          <cell r="I53">
            <v>75.900000000000006</v>
          </cell>
          <cell r="J53">
            <v>94.9</v>
          </cell>
          <cell r="K53">
            <v>122</v>
          </cell>
          <cell r="N53">
            <v>82</v>
          </cell>
          <cell r="O53">
            <v>94.6</v>
          </cell>
          <cell r="P53">
            <v>110.6</v>
          </cell>
          <cell r="S53">
            <v>104</v>
          </cell>
          <cell r="T53">
            <v>147</v>
          </cell>
          <cell r="U53">
            <v>209</v>
          </cell>
          <cell r="X53">
            <v>54.245889991984527</v>
          </cell>
          <cell r="Y53">
            <v>66.073127031287413</v>
          </cell>
          <cell r="Z53">
            <v>83.106325681586455</v>
          </cell>
        </row>
        <row r="54">
          <cell r="D54">
            <v>-16.132679999999997</v>
          </cell>
          <cell r="E54">
            <v>-20.467199999999998</v>
          </cell>
          <cell r="F54">
            <v>-23.738999999999997</v>
          </cell>
          <cell r="I54">
            <v>0</v>
          </cell>
          <cell r="J54">
            <v>0</v>
          </cell>
          <cell r="K54">
            <v>-5.8</v>
          </cell>
          <cell r="N54">
            <v>-14.3</v>
          </cell>
          <cell r="O54">
            <v>-22</v>
          </cell>
          <cell r="P54">
            <v>-26.2</v>
          </cell>
          <cell r="S54">
            <v>-19.760000000000002</v>
          </cell>
          <cell r="T54">
            <v>-37.338000000000001</v>
          </cell>
          <cell r="U54">
            <v>-62.699999999999996</v>
          </cell>
          <cell r="X54">
            <v>0</v>
          </cell>
          <cell r="Y54">
            <v>-6.6073127031287413</v>
          </cell>
          <cell r="Z54">
            <v>-24.931897704475936</v>
          </cell>
        </row>
        <row r="55">
          <cell r="D55">
            <v>141.55732</v>
          </cell>
          <cell r="E55">
            <v>162.69012000000001</v>
          </cell>
          <cell r="F55">
            <v>187.20112</v>
          </cell>
          <cell r="I55">
            <v>381.09300000000007</v>
          </cell>
          <cell r="J55">
            <v>475.99300000000005</v>
          </cell>
          <cell r="K55">
            <v>592.1930000000001</v>
          </cell>
          <cell r="N55">
            <v>295.30400000000003</v>
          </cell>
          <cell r="O55">
            <v>367.904</v>
          </cell>
          <cell r="P55">
            <v>452.30400000000003</v>
          </cell>
          <cell r="S55">
            <v>1171.54</v>
          </cell>
          <cell r="T55">
            <v>1281.202</v>
          </cell>
          <cell r="U55">
            <v>1427.502</v>
          </cell>
          <cell r="X55">
            <v>364.94588999198459</v>
          </cell>
          <cell r="Y55">
            <v>461.43170432014324</v>
          </cell>
          <cell r="Z55">
            <v>556.62613229725366</v>
          </cell>
        </row>
        <row r="57">
          <cell r="D57">
            <v>133.28878495327103</v>
          </cell>
          <cell r="E57">
            <v>153.18719242990653</v>
          </cell>
          <cell r="F57">
            <v>176.26647514018691</v>
          </cell>
          <cell r="I57">
            <v>359.4751950533373</v>
          </cell>
          <cell r="J57">
            <v>448.9919167211761</v>
          </cell>
          <cell r="K57">
            <v>558.6003788687301</v>
          </cell>
          <cell r="N57">
            <v>292.08789462005592</v>
          </cell>
          <cell r="O57">
            <v>363.89722043147754</v>
          </cell>
          <cell r="P57">
            <v>447.37803446018268</v>
          </cell>
          <cell r="S57">
            <v>1146</v>
          </cell>
          <cell r="T57">
            <v>1261</v>
          </cell>
          <cell r="U57">
            <v>1424</v>
          </cell>
          <cell r="X57">
            <v>311.90673576610959</v>
          </cell>
          <cell r="Y57">
            <v>404.20570565940534</v>
          </cell>
          <cell r="Z57">
            <v>494.33939043436277</v>
          </cell>
        </row>
        <row r="58">
          <cell r="D58">
            <v>0.26233176825215776</v>
          </cell>
          <cell r="E58">
            <v>0.29042574794575315</v>
          </cell>
          <cell r="F58">
            <v>0.29290916902440911</v>
          </cell>
          <cell r="I58">
            <v>0.2364128066116071</v>
          </cell>
          <cell r="J58">
            <v>0.23476527026981459</v>
          </cell>
          <cell r="K58">
            <v>0.24216143877633312</v>
          </cell>
          <cell r="N58">
            <v>0.31697749151615778</v>
          </cell>
          <cell r="O58">
            <v>0.2884211785585053</v>
          </cell>
          <cell r="P58">
            <v>0.27265715139991492</v>
          </cell>
          <cell r="S58">
            <v>9.5098756400877837E-2</v>
          </cell>
          <cell r="T58">
            <v>0.12214374740340674</v>
          </cell>
          <cell r="U58">
            <v>0.15567970204841713</v>
          </cell>
          <cell r="X58">
            <v>0.2255045957966226</v>
          </cell>
          <cell r="Y58">
            <v>0.18453282811218938</v>
          </cell>
          <cell r="Z58">
            <v>0.18497975458966581</v>
          </cell>
        </row>
        <row r="60">
          <cell r="D60">
            <v>32.53174322369896</v>
          </cell>
          <cell r="E60">
            <v>41.341743223698963</v>
          </cell>
          <cell r="F60">
            <v>47.991743223698961</v>
          </cell>
          <cell r="I60">
            <v>76.395289760000011</v>
          </cell>
          <cell r="J60">
            <v>95.395289760000011</v>
          </cell>
          <cell r="K60">
            <v>122.49528976000001</v>
          </cell>
          <cell r="N60">
            <v>82.674918239999997</v>
          </cell>
          <cell r="O60">
            <v>95.274918239999991</v>
          </cell>
          <cell r="P60">
            <v>111.27491823999999</v>
          </cell>
          <cell r="S60">
            <v>99.210729759999992</v>
          </cell>
          <cell r="T60">
            <v>142.21072975999999</v>
          </cell>
          <cell r="U60">
            <v>204.21072975999999</v>
          </cell>
          <cell r="X60">
            <v>53.623584551984528</v>
          </cell>
          <cell r="Y60">
            <v>65.450821591287408</v>
          </cell>
          <cell r="Z60">
            <v>82.48402024158645</v>
          </cell>
        </row>
        <row r="61">
          <cell r="D61">
            <v>116.64852874830707</v>
          </cell>
          <cell r="E61">
            <v>136.54693622494256</v>
          </cell>
          <cell r="F61">
            <v>159.62621893522294</v>
          </cell>
          <cell r="I61">
            <v>391.38819505333731</v>
          </cell>
          <cell r="J61">
            <v>480.90491672117611</v>
          </cell>
          <cell r="K61">
            <v>590.51337886873011</v>
          </cell>
          <cell r="N61">
            <v>335.57489462005594</v>
          </cell>
          <cell r="O61">
            <v>407.38422043147756</v>
          </cell>
          <cell r="P61">
            <v>490.8650344601827</v>
          </cell>
          <cell r="S61">
            <v>837.41300000000001</v>
          </cell>
          <cell r="T61">
            <v>952.41300000000001</v>
          </cell>
          <cell r="U61">
            <v>1115.413</v>
          </cell>
          <cell r="X61">
            <v>271.80973576610961</v>
          </cell>
          <cell r="Y61">
            <v>364.10870565940536</v>
          </cell>
          <cell r="Z61">
            <v>454.24239043436279</v>
          </cell>
        </row>
        <row r="62">
          <cell r="D62">
            <v>0.33124248456636723</v>
          </cell>
          <cell r="E62">
            <v>0.32655990286450637</v>
          </cell>
          <cell r="F62">
            <v>0.32407895440588347</v>
          </cell>
          <cell r="I62">
            <v>0.20535727990180039</v>
          </cell>
          <cell r="J62">
            <v>0.21872301517075277</v>
          </cell>
          <cell r="K62">
            <v>0.22866006724769622</v>
          </cell>
          <cell r="N62">
            <v>0.27982810225837584</v>
          </cell>
          <cell r="O62">
            <v>0.25647418898250274</v>
          </cell>
          <cell r="P62">
            <v>0.24775955590059709</v>
          </cell>
          <cell r="S62">
            <v>0.12646437074527511</v>
          </cell>
          <cell r="T62">
            <v>0.1589101172516211</v>
          </cell>
          <cell r="U62">
            <v>0.19751248872970936</v>
          </cell>
          <cell r="X62">
            <v>0.23226757585856594</v>
          </cell>
          <cell r="Y62">
            <v>0.20584659078157477</v>
          </cell>
          <cell r="Z62">
            <v>0.20158589787514694</v>
          </cell>
        </row>
        <row r="64">
          <cell r="D64" t="str">
            <v>Diluted Shares Calculations:</v>
          </cell>
          <cell r="I64" t="str">
            <v>Diluted Shares Calculations:</v>
          </cell>
          <cell r="N64" t="str">
            <v>Diluted Shares Calculations:</v>
          </cell>
          <cell r="S64" t="str">
            <v>Diluted Shares Calculations:</v>
          </cell>
          <cell r="X64" t="str">
            <v>Diluted Shares Calculations:</v>
          </cell>
        </row>
        <row r="65">
          <cell r="G65">
            <v>28.745000000000001</v>
          </cell>
          <cell r="L65">
            <v>2.7829999999999999</v>
          </cell>
          <cell r="Q65">
            <v>3.93</v>
          </cell>
          <cell r="V65">
            <v>3.95</v>
          </cell>
          <cell r="AA65">
            <v>3.274</v>
          </cell>
        </row>
        <row r="66">
          <cell r="G66">
            <v>18.191894000000001</v>
          </cell>
          <cell r="L66">
            <v>339.23741999999999</v>
          </cell>
          <cell r="Q66">
            <v>243.07996499999999</v>
          </cell>
          <cell r="V66">
            <v>440.9</v>
          </cell>
          <cell r="AA66">
            <v>250</v>
          </cell>
        </row>
        <row r="68">
          <cell r="E68" t="str">
            <v>Total</v>
          </cell>
          <cell r="F68" t="str">
            <v>Strike</v>
          </cell>
          <cell r="G68" t="str">
            <v>Dilution</v>
          </cell>
          <cell r="J68" t="str">
            <v>Total</v>
          </cell>
          <cell r="K68" t="str">
            <v>Strike</v>
          </cell>
          <cell r="L68" t="str">
            <v>Dilution</v>
          </cell>
          <cell r="O68" t="str">
            <v>Total</v>
          </cell>
          <cell r="P68" t="str">
            <v>Strike</v>
          </cell>
          <cell r="Q68" t="str">
            <v>Dilution</v>
          </cell>
          <cell r="T68" t="str">
            <v>Total</v>
          </cell>
          <cell r="U68" t="str">
            <v>Strike</v>
          </cell>
          <cell r="V68" t="str">
            <v>Dilution</v>
          </cell>
          <cell r="Y68" t="str">
            <v>Total</v>
          </cell>
          <cell r="Z68" t="str">
            <v>Strike</v>
          </cell>
          <cell r="AA68" t="str">
            <v>Dilution</v>
          </cell>
        </row>
        <row r="69">
          <cell r="E69">
            <v>0.46041900000000002</v>
          </cell>
          <cell r="F69">
            <v>7.2</v>
          </cell>
          <cell r="G69">
            <v>0.34509401130631412</v>
          </cell>
          <cell r="J69">
            <v>3.66811</v>
          </cell>
          <cell r="K69">
            <v>0.89</v>
          </cell>
          <cell r="L69">
            <v>2.4950529033417173</v>
          </cell>
          <cell r="O69">
            <v>2.673508</v>
          </cell>
          <cell r="P69">
            <v>0</v>
          </cell>
          <cell r="Q69">
            <v>2.673508</v>
          </cell>
          <cell r="T69">
            <v>6.527444</v>
          </cell>
          <cell r="U69">
            <v>2.15</v>
          </cell>
          <cell r="V69">
            <v>2.974531443037975</v>
          </cell>
          <cell r="AA69">
            <v>0</v>
          </cell>
        </row>
        <row r="70">
          <cell r="G70">
            <v>0</v>
          </cell>
          <cell r="J70">
            <v>1.8340540000000001</v>
          </cell>
          <cell r="K70">
            <v>1.23</v>
          </cell>
          <cell r="L70">
            <v>1.0234588077614086</v>
          </cell>
          <cell r="O70">
            <v>0.52782099999999998</v>
          </cell>
          <cell r="P70">
            <v>1.34</v>
          </cell>
          <cell r="Q70">
            <v>0.34785149872773535</v>
          </cell>
          <cell r="V70">
            <v>0</v>
          </cell>
          <cell r="AA70">
            <v>0</v>
          </cell>
        </row>
        <row r="71">
          <cell r="G71">
            <v>0</v>
          </cell>
          <cell r="L71">
            <v>0</v>
          </cell>
          <cell r="Q71">
            <v>0</v>
          </cell>
          <cell r="V71">
            <v>0</v>
          </cell>
          <cell r="AA71">
            <v>0</v>
          </cell>
        </row>
        <row r="73">
          <cell r="D73" t="str">
            <v>£ Amount</v>
          </cell>
          <cell r="E73" t="str">
            <v>Par Value</v>
          </cell>
          <cell r="F73" t="str">
            <v>Conv. Price</v>
          </cell>
          <cell r="G73" t="str">
            <v>Dilution</v>
          </cell>
          <cell r="I73" t="str">
            <v>£ Amount</v>
          </cell>
          <cell r="J73" t="str">
            <v>Par Value</v>
          </cell>
          <cell r="K73" t="str">
            <v>Conv. Price</v>
          </cell>
          <cell r="L73" t="str">
            <v>Dilution</v>
          </cell>
          <cell r="N73" t="str">
            <v>£ Amount</v>
          </cell>
          <cell r="O73" t="str">
            <v>Par Value</v>
          </cell>
          <cell r="P73" t="str">
            <v>Conv. Price</v>
          </cell>
          <cell r="Q73" t="str">
            <v>Dilution</v>
          </cell>
          <cell r="S73" t="str">
            <v>£ Amount</v>
          </cell>
          <cell r="T73" t="str">
            <v>Par Value</v>
          </cell>
          <cell r="U73" t="str">
            <v>Conv. Price</v>
          </cell>
          <cell r="V73" t="str">
            <v>Dilution</v>
          </cell>
          <cell r="X73" t="str">
            <v>£ Amount</v>
          </cell>
          <cell r="Y73" t="str">
            <v>Par Value</v>
          </cell>
          <cell r="Z73" t="str">
            <v>Conv. Price</v>
          </cell>
          <cell r="AA73" t="str">
            <v>Dilution</v>
          </cell>
        </row>
        <row r="74">
          <cell r="G74">
            <v>0</v>
          </cell>
          <cell r="L74">
            <v>0</v>
          </cell>
          <cell r="Q74">
            <v>0</v>
          </cell>
          <cell r="V74">
            <v>0</v>
          </cell>
          <cell r="AA74">
            <v>0</v>
          </cell>
        </row>
        <row r="75">
          <cell r="G75">
            <v>0</v>
          </cell>
          <cell r="L75">
            <v>0</v>
          </cell>
          <cell r="Q75">
            <v>0</v>
          </cell>
          <cell r="V75">
            <v>0</v>
          </cell>
          <cell r="AA75">
            <v>0</v>
          </cell>
        </row>
        <row r="77">
          <cell r="F77" t="str">
            <v># RSUs</v>
          </cell>
          <cell r="G77" t="str">
            <v>Dilution</v>
          </cell>
          <cell r="K77" t="str">
            <v># RSUs</v>
          </cell>
          <cell r="L77" t="str">
            <v>Dilution</v>
          </cell>
          <cell r="P77" t="str">
            <v># RSUs</v>
          </cell>
          <cell r="Q77" t="str">
            <v>Dilution</v>
          </cell>
          <cell r="U77" t="str">
            <v># RSUs</v>
          </cell>
          <cell r="V77" t="str">
            <v>Dilution</v>
          </cell>
          <cell r="Z77" t="str">
            <v># RSUs</v>
          </cell>
          <cell r="AA77" t="str">
            <v>Dilution</v>
          </cell>
        </row>
        <row r="78">
          <cell r="G78">
            <v>0</v>
          </cell>
          <cell r="K78">
            <v>1.5</v>
          </cell>
          <cell r="L78">
            <v>1.5</v>
          </cell>
          <cell r="Q78">
            <v>0</v>
          </cell>
          <cell r="V78">
            <v>0</v>
          </cell>
          <cell r="AA78">
            <v>0</v>
          </cell>
        </row>
        <row r="80">
          <cell r="G80">
            <v>18.536988011306317</v>
          </cell>
          <cell r="L80">
            <v>344.25593171110313</v>
          </cell>
          <cell r="Q80">
            <v>246.10132449872773</v>
          </cell>
          <cell r="V80">
            <v>443.87453144303794</v>
          </cell>
          <cell r="AA80">
            <v>250</v>
          </cell>
        </row>
        <row r="82">
          <cell r="D82" t="str">
            <v>Valuation Metrics:</v>
          </cell>
          <cell r="I82" t="str">
            <v>Valuation Metrics:</v>
          </cell>
          <cell r="N82" t="str">
            <v>Valuation Metrics:</v>
          </cell>
          <cell r="S82" t="str">
            <v>Valuation Metrics:</v>
          </cell>
          <cell r="X82" t="str">
            <v>Valuation Metrics:</v>
          </cell>
        </row>
        <row r="84">
          <cell r="G84">
            <v>532.84572038500005</v>
          </cell>
          <cell r="L84">
            <v>958.06425795199993</v>
          </cell>
          <cell r="Q84">
            <v>967.17820528000004</v>
          </cell>
          <cell r="V84">
            <v>1753.3043992</v>
          </cell>
          <cell r="AA84">
            <v>818.5</v>
          </cell>
        </row>
        <row r="85">
          <cell r="G85">
            <v>516.20546418003607</v>
          </cell>
          <cell r="L85">
            <v>989.97725795199995</v>
          </cell>
          <cell r="Q85">
            <v>1010.66520528</v>
          </cell>
          <cell r="V85">
            <v>1444.7173992</v>
          </cell>
          <cell r="AA85">
            <v>778.40300000000002</v>
          </cell>
        </row>
        <row r="86">
          <cell r="G86">
            <v>0.52900000000000003</v>
          </cell>
        </row>
        <row r="87">
          <cell r="G87">
            <v>0.11899999999999999</v>
          </cell>
          <cell r="L87">
            <v>0.179009</v>
          </cell>
          <cell r="Q87">
            <v>0.55744099999999996</v>
          </cell>
        </row>
        <row r="89">
          <cell r="D89" t="str">
            <v>Valuation Multiples:</v>
          </cell>
          <cell r="I89" t="str">
            <v>Valuation Multiples:</v>
          </cell>
          <cell r="N89" t="str">
            <v>Valuation Multiples:</v>
          </cell>
          <cell r="S89" t="str">
            <v>Valuation Multiples:</v>
          </cell>
          <cell r="X89" t="str">
            <v>Valuation Multiples:</v>
          </cell>
        </row>
        <row r="90">
          <cell r="D90" t="str">
            <v>LTM</v>
          </cell>
          <cell r="E90">
            <v>42369</v>
          </cell>
          <cell r="F90">
            <v>42735</v>
          </cell>
          <cell r="G90">
            <v>43100</v>
          </cell>
          <cell r="I90" t="str">
            <v>LTM</v>
          </cell>
          <cell r="J90">
            <v>42369</v>
          </cell>
          <cell r="K90">
            <v>42735</v>
          </cell>
          <cell r="L90">
            <v>43100</v>
          </cell>
          <cell r="N90" t="str">
            <v>LTM</v>
          </cell>
          <cell r="O90">
            <v>42369</v>
          </cell>
          <cell r="P90">
            <v>42735</v>
          </cell>
          <cell r="Q90">
            <v>43100</v>
          </cell>
          <cell r="S90" t="str">
            <v>LTM</v>
          </cell>
          <cell r="T90">
            <v>42369</v>
          </cell>
          <cell r="U90">
            <v>42735</v>
          </cell>
          <cell r="V90">
            <v>43100</v>
          </cell>
          <cell r="X90" t="str">
            <v>LTM</v>
          </cell>
          <cell r="Y90">
            <v>42369</v>
          </cell>
          <cell r="Z90">
            <v>42735</v>
          </cell>
          <cell r="AA90">
            <v>43100</v>
          </cell>
        </row>
        <row r="91">
          <cell r="D91">
            <v>4.9511484048420744</v>
          </cell>
          <cell r="E91">
            <v>4.4253062573455546</v>
          </cell>
          <cell r="F91">
            <v>3.7804250937542649</v>
          </cell>
          <cell r="G91">
            <v>3.2338388243695397</v>
          </cell>
          <cell r="I91">
            <v>2.3825995430887379</v>
          </cell>
          <cell r="J91">
            <v>2.5293998911160021</v>
          </cell>
          <cell r="K91">
            <v>2.058571712474254</v>
          </cell>
          <cell r="L91">
            <v>1.676468803888133</v>
          </cell>
          <cell r="N91">
            <v>3.4168797890366682</v>
          </cell>
          <cell r="O91">
            <v>3.011742598993568</v>
          </cell>
          <cell r="P91">
            <v>2.4808648803568349</v>
          </cell>
          <cell r="Q91">
            <v>2.0589472346333557</v>
          </cell>
          <cell r="S91">
            <v>1.8781760048257117</v>
          </cell>
          <cell r="T91">
            <v>1.7252149168928594</v>
          </cell>
          <cell r="U91">
            <v>1.5169022254001152</v>
          </cell>
          <cell r="V91">
            <v>1.2952309137512295</v>
          </cell>
          <cell r="X91">
            <v>3.302473876021943</v>
          </cell>
          <cell r="Y91">
            <v>2.8637789511329732</v>
          </cell>
          <cell r="Z91">
            <v>2.1378313341624242</v>
          </cell>
          <cell r="AA91">
            <v>1.713629146887113</v>
          </cell>
        </row>
        <row r="92">
          <cell r="D92">
            <v>21.339278586350748</v>
          </cell>
          <cell r="E92">
            <v>15.867746792123546</v>
          </cell>
          <cell r="F92">
            <v>12.486301348902087</v>
          </cell>
          <cell r="G92">
            <v>10.756130732194928</v>
          </cell>
          <cell r="I92">
            <v>16.781343668763956</v>
          </cell>
          <cell r="J92">
            <v>12.958616441695133</v>
          </cell>
          <cell r="K92">
            <v>10.377632485237285</v>
          </cell>
          <cell r="L92">
            <v>8.0817577548624264</v>
          </cell>
          <cell r="N92">
            <v>14.41269862921629</v>
          </cell>
          <cell r="O92">
            <v>12.224568548663134</v>
          </cell>
          <cell r="P92">
            <v>10.607883207352728</v>
          </cell>
          <cell r="Q92">
            <v>9.0825967007243893</v>
          </cell>
          <cell r="S92">
            <v>22.203671289974587</v>
          </cell>
          <cell r="T92">
            <v>14.562108379757978</v>
          </cell>
          <cell r="U92">
            <v>10.158990124290606</v>
          </cell>
          <cell r="V92">
            <v>7.0746400098462683</v>
          </cell>
          <cell r="X92">
            <v>16.870457298049939</v>
          </cell>
          <cell r="Y92">
            <v>14.516056815362457</v>
          </cell>
          <cell r="Z92">
            <v>11.892944673189838</v>
          </cell>
          <cell r="AA92">
            <v>9.4370157725113888</v>
          </cell>
        </row>
        <row r="93">
          <cell r="D93">
            <v>0.30732096005526549</v>
          </cell>
          <cell r="E93">
            <v>0.33124248456636723</v>
          </cell>
          <cell r="F93">
            <v>0.32655990286450637</v>
          </cell>
          <cell r="G93">
            <v>0.32407895440588347</v>
          </cell>
          <cell r="I93">
            <v>0.1637145269294753</v>
          </cell>
          <cell r="J93">
            <v>0.20535727990180039</v>
          </cell>
          <cell r="K93">
            <v>0.21872301517075277</v>
          </cell>
          <cell r="L93">
            <v>0.22866006724769622</v>
          </cell>
          <cell r="N93">
            <v>0.26893831644585475</v>
          </cell>
          <cell r="O93">
            <v>0.27982810225837584</v>
          </cell>
          <cell r="P93">
            <v>0.25647418898250274</v>
          </cell>
          <cell r="Q93">
            <v>0.24775955590059709</v>
          </cell>
          <cell r="S93">
            <v>8.220290540992109E-2</v>
          </cell>
          <cell r="T93">
            <v>0.12646437074527511</v>
          </cell>
          <cell r="U93">
            <v>0.1589101172516211</v>
          </cell>
          <cell r="V93">
            <v>0.19751248872970936</v>
          </cell>
          <cell r="X93">
            <v>0.23315692076963968</v>
          </cell>
          <cell r="Y93">
            <v>0.23226757585856594</v>
          </cell>
          <cell r="Z93">
            <v>0.20584659078157477</v>
          </cell>
          <cell r="AA93">
            <v>0.20158589787514694</v>
          </cell>
        </row>
        <row r="95">
          <cell r="D95" t="str">
            <v>Lookup Variables:</v>
          </cell>
          <cell r="I95" t="str">
            <v>Lookup Variables:</v>
          </cell>
          <cell r="N95" t="str">
            <v>Lookup Variables:</v>
          </cell>
          <cell r="S95" t="str">
            <v>Lookup Variables:</v>
          </cell>
          <cell r="X95" t="str">
            <v>Lookup Variables:</v>
          </cell>
        </row>
        <row r="97">
          <cell r="G97">
            <v>24.190389665291534</v>
          </cell>
          <cell r="L97">
            <v>58.992728919240207</v>
          </cell>
          <cell r="Q97">
            <v>70.123245568408606</v>
          </cell>
          <cell r="V97">
            <v>65.066600038000004</v>
          </cell>
          <cell r="AA97">
            <v>46.140005943405924</v>
          </cell>
        </row>
        <row r="98">
          <cell r="G98">
            <v>32.53174322369896</v>
          </cell>
          <cell r="L98">
            <v>76.395289760000011</v>
          </cell>
          <cell r="Q98">
            <v>82.674918239999997</v>
          </cell>
          <cell r="V98">
            <v>99.210729759999992</v>
          </cell>
          <cell r="AA98">
            <v>53.623584551984528</v>
          </cell>
        </row>
        <row r="99">
          <cell r="G99">
            <v>41.341743223698963</v>
          </cell>
          <cell r="L99">
            <v>95.395289760000011</v>
          </cell>
          <cell r="Q99">
            <v>95.274918239999991</v>
          </cell>
          <cell r="V99">
            <v>142.21072975999999</v>
          </cell>
          <cell r="AA99">
            <v>65.450821591287408</v>
          </cell>
        </row>
        <row r="100">
          <cell r="G100">
            <v>47.991743223698961</v>
          </cell>
          <cell r="L100">
            <v>122.49528976000001</v>
          </cell>
          <cell r="Q100">
            <v>111.27491823999999</v>
          </cell>
          <cell r="V100">
            <v>204.21072975999999</v>
          </cell>
          <cell r="AA100">
            <v>82.48402024158645</v>
          </cell>
        </row>
        <row r="102">
          <cell r="G102">
            <v>104.25974379503604</v>
          </cell>
          <cell r="L102">
            <v>415.50300000000004</v>
          </cell>
          <cell r="Q102">
            <v>295.786</v>
          </cell>
          <cell r="V102">
            <v>769.21299999999997</v>
          </cell>
          <cell r="AA102">
            <v>235.703</v>
          </cell>
        </row>
        <row r="103">
          <cell r="G103">
            <v>116.64852874830707</v>
          </cell>
          <cell r="L103">
            <v>391.38819505333731</v>
          </cell>
          <cell r="Q103">
            <v>335.57489462005594</v>
          </cell>
          <cell r="V103">
            <v>837.41300000000001</v>
          </cell>
          <cell r="AA103">
            <v>271.80973576610961</v>
          </cell>
        </row>
        <row r="104">
          <cell r="G104">
            <v>136.54693622494256</v>
          </cell>
          <cell r="L104">
            <v>480.90491672117611</v>
          </cell>
          <cell r="Q104">
            <v>407.38422043147756</v>
          </cell>
          <cell r="V104">
            <v>952.41300000000001</v>
          </cell>
          <cell r="AA104">
            <v>364.10870565940536</v>
          </cell>
        </row>
        <row r="105">
          <cell r="G105">
            <v>159.62621893522294</v>
          </cell>
          <cell r="L105">
            <v>590.51337886873011</v>
          </cell>
          <cell r="Q105">
            <v>490.8650344601827</v>
          </cell>
          <cell r="V105">
            <v>1115.413</v>
          </cell>
          <cell r="AA105">
            <v>454.24239043436279</v>
          </cell>
        </row>
        <row r="107">
          <cell r="G107">
            <v>16.132679999999997</v>
          </cell>
          <cell r="L107">
            <v>0</v>
          </cell>
          <cell r="Q107">
            <v>14.3</v>
          </cell>
          <cell r="V107">
            <v>19.760000000000002</v>
          </cell>
          <cell r="AA107">
            <v>0</v>
          </cell>
        </row>
        <row r="108">
          <cell r="G108">
            <v>0.27081241664240197</v>
          </cell>
          <cell r="L108">
            <v>0.2487064328139803</v>
          </cell>
          <cell r="Q108">
            <v>0.15240414225053112</v>
          </cell>
          <cell r="V108">
            <v>0.43342086187674478</v>
          </cell>
          <cell r="AA108">
            <v>0.22056035862050871</v>
          </cell>
        </row>
        <row r="109">
          <cell r="G109">
            <v>0.26867947544983228</v>
          </cell>
          <cell r="L109" t="str">
            <v>N/A</v>
          </cell>
          <cell r="Q109">
            <v>0.53846153846153832</v>
          </cell>
          <cell r="V109">
            <v>0.88957489878542506</v>
          </cell>
          <cell r="AA109" t="str">
            <v>N/A</v>
          </cell>
        </row>
        <row r="111">
          <cell r="G111">
            <v>4.9511484048420744</v>
          </cell>
          <cell r="L111">
            <v>2.3825995430887379</v>
          </cell>
          <cell r="Q111">
            <v>3.4168797890366682</v>
          </cell>
          <cell r="V111">
            <v>1.8781760048257117</v>
          </cell>
          <cell r="AA111">
            <v>3.302473876021943</v>
          </cell>
        </row>
        <row r="112">
          <cell r="G112">
            <v>21.339278586350748</v>
          </cell>
          <cell r="L112">
            <v>16.781343668763956</v>
          </cell>
          <cell r="Q112">
            <v>14.41269862921629</v>
          </cell>
          <cell r="V112">
            <v>22.203671289974587</v>
          </cell>
          <cell r="AA112">
            <v>16.870457298049939</v>
          </cell>
        </row>
        <row r="113">
          <cell r="G113">
            <v>0.30732096005526549</v>
          </cell>
          <cell r="L113">
            <v>0.1637145269294753</v>
          </cell>
          <cell r="Q113">
            <v>0.26893831644585475</v>
          </cell>
          <cell r="V113">
            <v>8.220290540992109E-2</v>
          </cell>
          <cell r="AA113">
            <v>0.23315692076963968</v>
          </cell>
        </row>
        <row r="115">
          <cell r="G115">
            <v>4.4253062573455546</v>
          </cell>
          <cell r="L115">
            <v>2.5293998911160021</v>
          </cell>
          <cell r="Q115">
            <v>3.011742598993568</v>
          </cell>
          <cell r="V115">
            <v>1.7252149168928594</v>
          </cell>
          <cell r="AA115">
            <v>2.8637789511329732</v>
          </cell>
        </row>
        <row r="116">
          <cell r="G116">
            <v>15.867746792123546</v>
          </cell>
          <cell r="L116">
            <v>12.958616441695133</v>
          </cell>
          <cell r="Q116">
            <v>12.224568548663134</v>
          </cell>
          <cell r="V116">
            <v>14.562108379757978</v>
          </cell>
          <cell r="AA116">
            <v>14.516056815362457</v>
          </cell>
        </row>
        <row r="117">
          <cell r="G117">
            <v>0.33124248456636723</v>
          </cell>
          <cell r="L117">
            <v>0.20535727990180039</v>
          </cell>
          <cell r="Q117">
            <v>0.27982810225837584</v>
          </cell>
          <cell r="V117">
            <v>0.12646437074527511</v>
          </cell>
          <cell r="AA117">
            <v>0.23226757585856594</v>
          </cell>
        </row>
        <row r="119">
          <cell r="G119">
            <v>3.7804250937542649</v>
          </cell>
          <cell r="L119">
            <v>2.058571712474254</v>
          </cell>
          <cell r="Q119">
            <v>2.4808648803568349</v>
          </cell>
          <cell r="V119">
            <v>1.5169022254001152</v>
          </cell>
          <cell r="AA119">
            <v>2.1378313341624242</v>
          </cell>
        </row>
        <row r="120">
          <cell r="G120">
            <v>12.486301348902087</v>
          </cell>
          <cell r="L120">
            <v>10.377632485237285</v>
          </cell>
          <cell r="Q120">
            <v>10.607883207352728</v>
          </cell>
          <cell r="V120">
            <v>10.158990124290606</v>
          </cell>
          <cell r="AA120">
            <v>11.892944673189838</v>
          </cell>
        </row>
        <row r="121">
          <cell r="G121">
            <v>0.32655990286450637</v>
          </cell>
          <cell r="L121">
            <v>0.21872301517075277</v>
          </cell>
          <cell r="Q121">
            <v>0.25647418898250274</v>
          </cell>
          <cell r="V121">
            <v>0.1589101172516211</v>
          </cell>
          <cell r="AA121">
            <v>0.20584659078157477</v>
          </cell>
        </row>
        <row r="123">
          <cell r="G123">
            <v>3.2338388243695397</v>
          </cell>
          <cell r="L123">
            <v>1.676468803888133</v>
          </cell>
          <cell r="Q123">
            <v>2.0589472346333557</v>
          </cell>
          <cell r="V123">
            <v>1.2952309137512295</v>
          </cell>
          <cell r="AA123">
            <v>1.713629146887113</v>
          </cell>
        </row>
        <row r="124">
          <cell r="G124">
            <v>10.756130732194928</v>
          </cell>
          <cell r="L124">
            <v>8.0817577548624264</v>
          </cell>
          <cell r="Q124">
            <v>9.0825967007243893</v>
          </cell>
          <cell r="V124">
            <v>7.0746400098462683</v>
          </cell>
          <cell r="AA124">
            <v>9.4370157725113888</v>
          </cell>
        </row>
        <row r="125">
          <cell r="G125">
            <v>0.32407895440588347</v>
          </cell>
          <cell r="L125">
            <v>0.22866006724769622</v>
          </cell>
          <cell r="Q125">
            <v>0.24775955590059709</v>
          </cell>
          <cell r="V125">
            <v>0.19751248872970936</v>
          </cell>
          <cell r="AA125">
            <v>0.20158589787514694</v>
          </cell>
        </row>
        <row r="127">
          <cell r="G127">
            <v>133.28878495327103</v>
          </cell>
          <cell r="L127">
            <v>359.4751950533373</v>
          </cell>
          <cell r="Q127">
            <v>292.08789462005592</v>
          </cell>
          <cell r="V127">
            <v>1146</v>
          </cell>
          <cell r="AA127">
            <v>311.90673576610959</v>
          </cell>
        </row>
        <row r="128">
          <cell r="G128">
            <v>153.18719242990653</v>
          </cell>
          <cell r="L128">
            <v>448.9919167211761</v>
          </cell>
          <cell r="Q128">
            <v>363.89722043147754</v>
          </cell>
          <cell r="V128">
            <v>1261</v>
          </cell>
          <cell r="AA128">
            <v>404.20570565940534</v>
          </cell>
        </row>
        <row r="129">
          <cell r="G129">
            <v>25</v>
          </cell>
          <cell r="L129">
            <v>58.075897405029906</v>
          </cell>
          <cell r="Q129">
            <v>69.511014684459113</v>
          </cell>
          <cell r="V129">
            <v>73.335999999999999</v>
          </cell>
          <cell r="AA129">
            <v>46.610431193897838</v>
          </cell>
        </row>
        <row r="130">
          <cell r="G130">
            <v>0.29042574794575315</v>
          </cell>
          <cell r="L130">
            <v>0.23476527026981459</v>
          </cell>
          <cell r="Q130">
            <v>0.2884211785585053</v>
          </cell>
          <cell r="V130">
            <v>0.12214374740340674</v>
          </cell>
          <cell r="AA130">
            <v>0.18453282811218938</v>
          </cell>
        </row>
        <row r="131">
          <cell r="G131">
            <v>3.4783960194897685</v>
          </cell>
          <cell r="L131">
            <v>2.1338118177012921</v>
          </cell>
          <cell r="Q131">
            <v>2.6578334512508905</v>
          </cell>
          <cell r="V131">
            <v>1.3904079295796987</v>
          </cell>
          <cell r="AA131">
            <v>2.0249590457035516</v>
          </cell>
        </row>
      </sheetData>
      <sheetData sheetId="13"/>
      <sheetData sheetId="14">
        <row r="6">
          <cell r="F6" t="str">
            <v>LTM</v>
          </cell>
        </row>
        <row r="7">
          <cell r="F7">
            <v>42369</v>
          </cell>
        </row>
        <row r="8">
          <cell r="F8">
            <v>42735</v>
          </cell>
        </row>
        <row r="9">
          <cell r="F9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986B-2FE6-D646-8611-BB88BC601636}">
  <sheetPr>
    <tabColor rgb="FF7030A0"/>
    <pageSetUpPr autoPageBreaks="0"/>
  </sheetPr>
  <dimension ref="A1:U182"/>
  <sheetViews>
    <sheetView showGridLines="0" tabSelected="1" zoomScale="140" zoomScaleNormal="140" workbookViewId="0">
      <pane ySplit="4" topLeftCell="A57" activePane="bottomLeft" state="frozen"/>
      <selection pane="bottomLeft" activeCell="J157" sqref="J157"/>
    </sheetView>
  </sheetViews>
  <sheetFormatPr baseColWidth="10" defaultColWidth="8.6640625" defaultRowHeight="15" outlineLevelRow="1"/>
  <cols>
    <col min="1" max="1" width="2.1640625" style="1" customWidth="1"/>
    <col min="2" max="2" width="37.1640625" style="2" customWidth="1"/>
    <col min="3" max="7" width="9.1640625" style="2" customWidth="1"/>
    <col min="8" max="9" width="9.1640625" style="5" customWidth="1"/>
    <col min="10" max="10" width="12.83203125" style="5" customWidth="1"/>
    <col min="11" max="11" width="9.6640625" style="5" customWidth="1"/>
    <col min="12" max="12" width="10.83203125" style="5" customWidth="1"/>
    <col min="13" max="13" width="9.83203125" style="5" customWidth="1"/>
    <col min="14" max="16384" width="8.6640625" style="5"/>
  </cols>
  <sheetData>
    <row r="1" spans="1:13" ht="8" customHeight="1">
      <c r="C1" s="3"/>
      <c r="D1" s="3"/>
      <c r="E1" s="3"/>
      <c r="F1" s="3"/>
      <c r="G1" s="3"/>
      <c r="H1" s="4"/>
    </row>
    <row r="2" spans="1:13">
      <c r="B2" s="6" t="s">
        <v>0</v>
      </c>
      <c r="C2" s="7" t="s">
        <v>1</v>
      </c>
      <c r="D2" s="7"/>
      <c r="E2" s="7"/>
      <c r="F2" s="8" t="s">
        <v>2</v>
      </c>
      <c r="G2" s="8"/>
      <c r="H2" s="9"/>
      <c r="I2" s="10"/>
    </row>
    <row r="3" spans="1:13">
      <c r="B3" s="11" t="s">
        <v>3</v>
      </c>
      <c r="C3" s="12">
        <v>2018</v>
      </c>
      <c r="D3" s="12">
        <v>2019</v>
      </c>
      <c r="E3" s="12">
        <v>2020</v>
      </c>
      <c r="F3" s="13">
        <v>2021</v>
      </c>
      <c r="G3" s="13">
        <v>2022</v>
      </c>
      <c r="H3" s="14">
        <v>2023</v>
      </c>
      <c r="I3" s="10">
        <v>2024</v>
      </c>
    </row>
    <row r="4" spans="1:13" s="18" customFormat="1">
      <c r="A4" s="15"/>
      <c r="B4" s="16" t="s">
        <v>4</v>
      </c>
      <c r="C4" s="17" t="str">
        <f t="shared" ref="C4:I4" si="0">IF(ABS(C68-C56)&gt;1,"ERROR","OK")</f>
        <v>OK</v>
      </c>
      <c r="D4" s="17" t="str">
        <f t="shared" si="0"/>
        <v>OK</v>
      </c>
      <c r="E4" s="17" t="str">
        <f t="shared" si="0"/>
        <v>OK</v>
      </c>
      <c r="F4" s="17" t="str">
        <f t="shared" ca="1" si="0"/>
        <v>OK</v>
      </c>
      <c r="G4" s="17" t="str">
        <f t="shared" ca="1" si="0"/>
        <v>OK</v>
      </c>
      <c r="H4" s="17" t="str">
        <f t="shared" ca="1" si="0"/>
        <v>OK</v>
      </c>
      <c r="I4" s="17" t="str">
        <f t="shared" ca="1" si="0"/>
        <v>OK</v>
      </c>
      <c r="J4" s="5"/>
      <c r="K4" s="5"/>
      <c r="L4" s="5"/>
      <c r="M4" s="5"/>
    </row>
    <row r="5" spans="1:13" s="18" customFormat="1">
      <c r="A5" s="15"/>
      <c r="B5" s="19"/>
      <c r="C5" s="17"/>
      <c r="D5" s="17"/>
      <c r="E5" s="17"/>
      <c r="F5" s="17"/>
      <c r="G5" s="17"/>
      <c r="H5" s="17"/>
      <c r="I5" s="17"/>
      <c r="J5" s="5"/>
      <c r="K5" s="5"/>
      <c r="L5" s="5"/>
      <c r="M5" s="5"/>
    </row>
    <row r="6" spans="1:13" s="18" customFormat="1" ht="17">
      <c r="A6" s="15"/>
      <c r="B6" s="20" t="s">
        <v>5</v>
      </c>
      <c r="C6" s="21">
        <v>2018</v>
      </c>
      <c r="D6" s="21">
        <v>2019</v>
      </c>
      <c r="E6" s="21">
        <v>2020</v>
      </c>
      <c r="F6" s="22">
        <v>2021</v>
      </c>
      <c r="G6" s="22">
        <v>2022</v>
      </c>
      <c r="H6" s="22">
        <v>2023</v>
      </c>
      <c r="I6" s="22">
        <v>2024</v>
      </c>
      <c r="J6" s="5"/>
      <c r="K6" s="5"/>
      <c r="L6" s="5"/>
      <c r="M6" s="5"/>
    </row>
    <row r="7" spans="1:13" s="18" customFormat="1" outlineLevel="1">
      <c r="A7" s="15"/>
      <c r="B7" s="19"/>
      <c r="J7" s="5"/>
      <c r="K7" s="5"/>
      <c r="L7" s="5"/>
      <c r="M7" s="5"/>
    </row>
    <row r="8" spans="1:13" s="18" customFormat="1" outlineLevel="1">
      <c r="A8" s="15"/>
      <c r="B8" s="23" t="s">
        <v>6</v>
      </c>
      <c r="J8" s="5"/>
      <c r="K8" s="5"/>
      <c r="L8" s="5"/>
      <c r="M8" s="5"/>
    </row>
    <row r="9" spans="1:13" s="18" customFormat="1" ht="16" outlineLevel="1">
      <c r="A9" s="15"/>
      <c r="B9" s="24" t="s">
        <v>7</v>
      </c>
      <c r="C9" s="25"/>
      <c r="D9" s="25">
        <f>D50/C50-1</f>
        <v>3.0218735299604838E-2</v>
      </c>
      <c r="E9" s="25">
        <f>E50/D50-1</f>
        <v>3.0212361751849048E-2</v>
      </c>
      <c r="F9" s="25">
        <v>0.05</v>
      </c>
      <c r="G9" s="25">
        <v>0.04</v>
      </c>
      <c r="H9" s="25">
        <v>0.03</v>
      </c>
      <c r="I9" s="25">
        <f t="shared" ref="I9" si="1">H9</f>
        <v>0.03</v>
      </c>
      <c r="J9" s="5"/>
      <c r="K9" s="5"/>
      <c r="L9" s="5"/>
      <c r="M9" s="5"/>
    </row>
    <row r="10" spans="1:13" s="18" customFormat="1" ht="16" outlineLevel="1">
      <c r="A10" s="15"/>
      <c r="B10" s="24" t="s">
        <v>8</v>
      </c>
      <c r="C10" s="25">
        <f>C52/C59</f>
        <v>0.93223258800254061</v>
      </c>
      <c r="D10" s="25">
        <f>D52/D59</f>
        <v>0.92451842788790162</v>
      </c>
      <c r="E10" s="25">
        <f>E52/E59</f>
        <v>0.92451842788790162</v>
      </c>
      <c r="F10" s="25">
        <v>0.9</v>
      </c>
      <c r="G10" s="25">
        <f t="shared" ref="F10:I19" si="2">F10</f>
        <v>0.9</v>
      </c>
      <c r="H10" s="25">
        <f t="shared" si="2"/>
        <v>0.9</v>
      </c>
      <c r="I10" s="25">
        <f t="shared" si="2"/>
        <v>0.9</v>
      </c>
      <c r="J10" s="5"/>
      <c r="K10" s="5"/>
      <c r="L10" s="5"/>
      <c r="M10" s="5"/>
    </row>
    <row r="11" spans="1:13" s="18" customFormat="1" ht="16" outlineLevel="1">
      <c r="A11" s="15"/>
      <c r="B11" s="24" t="s">
        <v>9</v>
      </c>
      <c r="C11" s="26">
        <f>C107/AVERAGE(B50:C50)</f>
        <v>-4.2305175149770898E-4</v>
      </c>
      <c r="D11" s="26">
        <f>D107/AVERAGE(C50:D50)</f>
        <v>2.0297689453596196E-4</v>
      </c>
      <c r="E11" s="26">
        <f>E107/AVERAGE(D50:E50)</f>
        <v>2.0297627601141975E-4</v>
      </c>
      <c r="F11" s="26">
        <f t="shared" si="2"/>
        <v>2.0297627601141975E-4</v>
      </c>
      <c r="G11" s="26">
        <f t="shared" si="2"/>
        <v>2.0297627601141975E-4</v>
      </c>
      <c r="H11" s="26">
        <f t="shared" si="2"/>
        <v>2.0297627601141975E-4</v>
      </c>
      <c r="I11" s="26">
        <f t="shared" si="2"/>
        <v>2.0297627601141975E-4</v>
      </c>
      <c r="J11" s="5"/>
      <c r="K11" s="5"/>
      <c r="L11" s="5"/>
      <c r="M11" s="5"/>
    </row>
    <row r="12" spans="1:13" s="18" customFormat="1" ht="16" outlineLevel="1">
      <c r="A12" s="15"/>
      <c r="B12" s="27" t="s">
        <v>10</v>
      </c>
      <c r="C12" s="28">
        <f>C35/C53</f>
        <v>0.89340884223709294</v>
      </c>
      <c r="D12" s="28">
        <f t="shared" ref="D12:E12" si="3">D35/D53</f>
        <v>0.89374386381928606</v>
      </c>
      <c r="E12" s="28">
        <f t="shared" si="3"/>
        <v>0.89479748772036738</v>
      </c>
      <c r="F12" s="28">
        <f t="shared" si="2"/>
        <v>0.89479748772036738</v>
      </c>
      <c r="G12" s="28">
        <f t="shared" si="2"/>
        <v>0.89479748772036738</v>
      </c>
      <c r="H12" s="28">
        <f t="shared" si="2"/>
        <v>0.89479748772036738</v>
      </c>
      <c r="I12" s="28">
        <f t="shared" si="2"/>
        <v>0.89479748772036738</v>
      </c>
      <c r="J12" s="5"/>
      <c r="K12" s="5"/>
      <c r="L12" s="5"/>
      <c r="M12" s="5"/>
    </row>
    <row r="13" spans="1:13" s="18" customFormat="1" ht="16" outlineLevel="1">
      <c r="A13" s="15"/>
      <c r="B13" s="24" t="s">
        <v>11</v>
      </c>
      <c r="C13" s="29">
        <f>C78/C35</f>
        <v>0.15128755364806865</v>
      </c>
      <c r="D13" s="29">
        <f>D78/D35</f>
        <v>0.15128755364806865</v>
      </c>
      <c r="E13" s="29">
        <f>E78/E35</f>
        <v>0.15128755364806865</v>
      </c>
      <c r="F13" s="29">
        <f>E13</f>
        <v>0.15128755364806865</v>
      </c>
      <c r="G13" s="29">
        <f>F13</f>
        <v>0.15128755364806865</v>
      </c>
      <c r="H13" s="29">
        <f>G13</f>
        <v>0.15128755364806865</v>
      </c>
      <c r="I13" s="29">
        <f>H13</f>
        <v>0.15128755364806865</v>
      </c>
      <c r="J13" s="5"/>
      <c r="K13" s="5"/>
      <c r="L13" s="5"/>
      <c r="M13" s="5"/>
    </row>
    <row r="14" spans="1:13" s="18" customFormat="1" ht="16" outlineLevel="1">
      <c r="A14" s="15"/>
      <c r="B14" s="27" t="s">
        <v>12</v>
      </c>
      <c r="C14" s="25">
        <f>C49/C59</f>
        <v>0.02</v>
      </c>
      <c r="D14" s="25">
        <f>D49/D59</f>
        <v>0.02</v>
      </c>
      <c r="E14" s="25">
        <f>E49/E59</f>
        <v>0.02</v>
      </c>
      <c r="F14" s="25">
        <v>0.03</v>
      </c>
      <c r="G14" s="25">
        <v>0.04</v>
      </c>
      <c r="H14" s="25">
        <f t="shared" si="2"/>
        <v>0.04</v>
      </c>
      <c r="I14" s="25">
        <f t="shared" si="2"/>
        <v>0.04</v>
      </c>
      <c r="J14" s="5"/>
      <c r="K14" s="5"/>
      <c r="L14" s="5"/>
      <c r="M14" s="5"/>
    </row>
    <row r="15" spans="1:13" s="18" customFormat="1" ht="16" outlineLevel="1">
      <c r="A15" s="15"/>
      <c r="B15" s="27" t="s">
        <v>13</v>
      </c>
      <c r="C15" s="30">
        <f>C55/C59</f>
        <v>2.8087567121024368E-3</v>
      </c>
      <c r="D15" s="30">
        <f>D55/D59</f>
        <v>2.8087567121024368E-3</v>
      </c>
      <c r="E15" s="30">
        <f>E55/E59</f>
        <v>2.8087567121024368E-3</v>
      </c>
      <c r="F15" s="30">
        <f t="shared" ref="F15:I16" si="4">E15</f>
        <v>2.8087567121024368E-3</v>
      </c>
      <c r="G15" s="30">
        <f t="shared" si="4"/>
        <v>2.8087567121024368E-3</v>
      </c>
      <c r="H15" s="30">
        <f t="shared" si="4"/>
        <v>2.8087567121024368E-3</v>
      </c>
      <c r="I15" s="30">
        <f t="shared" si="4"/>
        <v>2.8087567121024368E-3</v>
      </c>
      <c r="J15" s="5"/>
      <c r="K15" s="5"/>
      <c r="L15" s="5"/>
      <c r="M15" s="5"/>
    </row>
    <row r="16" spans="1:13" s="18" customFormat="1" ht="16" outlineLevel="1">
      <c r="A16" s="15"/>
      <c r="B16" s="24" t="s">
        <v>14</v>
      </c>
      <c r="C16" s="29">
        <f>C61/C39</f>
        <v>0.1</v>
      </c>
      <c r="D16" s="29">
        <f>D61/D39</f>
        <v>0.1</v>
      </c>
      <c r="E16" s="29">
        <f>E61/E39</f>
        <v>0.1</v>
      </c>
      <c r="F16" s="29">
        <f t="shared" si="4"/>
        <v>0.1</v>
      </c>
      <c r="G16" s="29">
        <f t="shared" si="4"/>
        <v>0.1</v>
      </c>
      <c r="H16" s="29">
        <f t="shared" si="4"/>
        <v>0.1</v>
      </c>
      <c r="I16" s="29">
        <f t="shared" si="4"/>
        <v>0.1</v>
      </c>
      <c r="J16" s="5"/>
      <c r="K16" s="5"/>
      <c r="L16" s="5"/>
      <c r="M16" s="5"/>
    </row>
    <row r="17" spans="1:13" s="18" customFormat="1" ht="16" outlineLevel="1">
      <c r="A17" s="15"/>
      <c r="B17" s="27" t="s">
        <v>15</v>
      </c>
      <c r="C17" s="31">
        <f>C62/C59</f>
        <v>1.7554729450640232E-2</v>
      </c>
      <c r="D17" s="31">
        <f>D62/D59</f>
        <v>1.7554729450640232E-2</v>
      </c>
      <c r="E17" s="31">
        <f>E62/E59</f>
        <v>1.7554729450640232E-2</v>
      </c>
      <c r="F17" s="31">
        <f t="shared" si="2"/>
        <v>1.7554729450640232E-2</v>
      </c>
      <c r="G17" s="31">
        <f t="shared" si="2"/>
        <v>1.7554729450640232E-2</v>
      </c>
      <c r="H17" s="31">
        <f t="shared" si="2"/>
        <v>1.7554729450640232E-2</v>
      </c>
      <c r="I17" s="31">
        <f t="shared" si="2"/>
        <v>1.7554729450640232E-2</v>
      </c>
      <c r="J17" s="5"/>
      <c r="K17" s="5"/>
      <c r="L17" s="5"/>
      <c r="M17" s="5"/>
    </row>
    <row r="18" spans="1:13" s="15" customFormat="1" ht="16" outlineLevel="1">
      <c r="B18" s="27" t="s">
        <v>16</v>
      </c>
      <c r="C18" s="32">
        <f>C60</f>
        <v>71.8</v>
      </c>
      <c r="D18" s="32">
        <f t="shared" ref="D18:E18" si="5">D60</f>
        <v>71.8</v>
      </c>
      <c r="E18" s="32">
        <f t="shared" si="5"/>
        <v>71.8</v>
      </c>
      <c r="F18" s="33">
        <f t="shared" si="2"/>
        <v>71.8</v>
      </c>
      <c r="G18" s="33">
        <f t="shared" si="2"/>
        <v>71.8</v>
      </c>
      <c r="H18" s="33">
        <f t="shared" si="2"/>
        <v>71.8</v>
      </c>
      <c r="I18" s="33">
        <f t="shared" si="2"/>
        <v>71.8</v>
      </c>
      <c r="J18" s="5"/>
      <c r="K18" s="5"/>
      <c r="L18" s="5"/>
      <c r="M18" s="5"/>
    </row>
    <row r="19" spans="1:13" s="18" customFormat="1" ht="16" outlineLevel="1">
      <c r="A19" s="15"/>
      <c r="B19" s="27" t="s">
        <v>17</v>
      </c>
      <c r="C19" s="34">
        <f>C65</f>
        <v>186.6</v>
      </c>
      <c r="D19" s="34">
        <f t="shared" ref="D19:E19" si="6">D65</f>
        <v>186.6</v>
      </c>
      <c r="E19" s="34">
        <f t="shared" si="6"/>
        <v>186.6</v>
      </c>
      <c r="F19" s="34">
        <f t="shared" si="2"/>
        <v>186.6</v>
      </c>
      <c r="G19" s="34">
        <f t="shared" si="2"/>
        <v>186.6</v>
      </c>
      <c r="H19" s="34">
        <f t="shared" si="2"/>
        <v>186.6</v>
      </c>
      <c r="I19" s="34">
        <f t="shared" si="2"/>
        <v>186.6</v>
      </c>
      <c r="J19" s="5"/>
      <c r="K19" s="5"/>
      <c r="L19" s="5"/>
      <c r="M19" s="5"/>
    </row>
    <row r="20" spans="1:13" s="18" customFormat="1" ht="16" outlineLevel="1">
      <c r="A20" s="15"/>
      <c r="B20" s="27" t="s">
        <v>18</v>
      </c>
      <c r="C20" s="31">
        <f>C72/C115</f>
        <v>0.62287449089521008</v>
      </c>
      <c r="D20" s="31">
        <f t="shared" ref="D20:E20" si="7">D72/D115</f>
        <v>0.62287449089521008</v>
      </c>
      <c r="E20" s="31">
        <f t="shared" si="7"/>
        <v>0.62287449089521008</v>
      </c>
      <c r="F20" s="25">
        <f>E20</f>
        <v>0.62287449089521008</v>
      </c>
      <c r="G20" s="25">
        <f>F20</f>
        <v>0.62287449089521008</v>
      </c>
      <c r="H20" s="25">
        <f>G20</f>
        <v>0.62287449089521008</v>
      </c>
      <c r="I20" s="25">
        <f>H20</f>
        <v>0.62287449089521008</v>
      </c>
      <c r="J20" s="5"/>
      <c r="K20" s="5"/>
      <c r="L20" s="5"/>
      <c r="M20" s="5"/>
    </row>
    <row r="21" spans="1:13" s="18" customFormat="1" outlineLevel="1">
      <c r="A21" s="15"/>
      <c r="B21" s="35"/>
      <c r="C21" s="36"/>
      <c r="D21" s="36"/>
      <c r="E21" s="36"/>
      <c r="F21" s="36"/>
      <c r="G21" s="36"/>
      <c r="H21" s="36"/>
      <c r="I21" s="36"/>
      <c r="J21" s="5"/>
      <c r="K21" s="5"/>
      <c r="L21" s="5"/>
      <c r="M21" s="5"/>
    </row>
    <row r="22" spans="1:13" s="18" customFormat="1" outlineLevel="1">
      <c r="A22" s="15"/>
      <c r="B22" s="37" t="s">
        <v>19</v>
      </c>
      <c r="C22" s="36"/>
      <c r="D22" s="36"/>
      <c r="E22" s="36"/>
      <c r="F22" s="36"/>
      <c r="G22" s="36"/>
      <c r="H22" s="36"/>
      <c r="I22" s="36"/>
      <c r="J22" s="5"/>
      <c r="K22" s="5"/>
      <c r="L22" s="5"/>
      <c r="M22" s="5"/>
    </row>
    <row r="23" spans="1:13" s="18" customFormat="1" ht="16" outlineLevel="1">
      <c r="A23" s="15"/>
      <c r="B23" s="24" t="s">
        <v>20</v>
      </c>
      <c r="C23" s="29">
        <f>C118/C115</f>
        <v>5.9132611422173409E-2</v>
      </c>
      <c r="D23" s="29">
        <f>D118/AVERAGE(C115:D115)</f>
        <v>0.06</v>
      </c>
      <c r="E23" s="38">
        <f>E118/AVERAGE(D115:E115)</f>
        <v>0.06</v>
      </c>
      <c r="F23" s="29">
        <v>0.06</v>
      </c>
      <c r="G23" s="29">
        <v>6.2E-2</v>
      </c>
      <c r="H23" s="29">
        <v>6.3E-2</v>
      </c>
      <c r="I23" s="29">
        <v>6.4000000000000001E-2</v>
      </c>
      <c r="J23" s="5"/>
      <c r="K23" s="5"/>
      <c r="L23" s="5"/>
      <c r="M23" s="5"/>
    </row>
    <row r="24" spans="1:13" s="18" customFormat="1" ht="16" outlineLevel="1">
      <c r="A24" s="15"/>
      <c r="B24" s="24" t="s">
        <v>21</v>
      </c>
      <c r="C24" s="29">
        <f>C119/C59</f>
        <v>1.924656737972906E-2</v>
      </c>
      <c r="D24" s="29">
        <f>D119/AVERAGE(C59:D59)</f>
        <v>1.9773429454170956E-2</v>
      </c>
      <c r="E24" s="29">
        <f>E119/AVERAGE(D59:E59)</f>
        <v>1.9773429454170956E-2</v>
      </c>
      <c r="F24" s="29">
        <f t="shared" ref="F24:I29" si="8">E24</f>
        <v>1.9773429454170956E-2</v>
      </c>
      <c r="G24" s="29">
        <f t="shared" si="8"/>
        <v>1.9773429454170956E-2</v>
      </c>
      <c r="H24" s="29">
        <f t="shared" si="8"/>
        <v>1.9773429454170956E-2</v>
      </c>
      <c r="I24" s="29">
        <f t="shared" si="8"/>
        <v>1.9773429454170956E-2</v>
      </c>
      <c r="J24" s="5"/>
      <c r="K24" s="5"/>
      <c r="L24" s="5"/>
      <c r="M24" s="5"/>
    </row>
    <row r="25" spans="1:13" s="18" customFormat="1" ht="16" outlineLevel="1">
      <c r="A25" s="15"/>
      <c r="B25" s="24" t="s">
        <v>22</v>
      </c>
      <c r="C25" s="29"/>
      <c r="D25" s="29">
        <f>D34/C34-1</f>
        <v>2.0000000000000018E-2</v>
      </c>
      <c r="E25" s="29">
        <f>E34/D34-1</f>
        <v>2.0000000000000018E-2</v>
      </c>
      <c r="F25" s="29">
        <v>0.04</v>
      </c>
      <c r="G25" s="29">
        <v>0.06</v>
      </c>
      <c r="H25" s="29">
        <v>0.03</v>
      </c>
      <c r="I25" s="29">
        <v>0.02</v>
      </c>
      <c r="J25" s="5"/>
      <c r="K25" s="5"/>
      <c r="L25" s="5"/>
      <c r="M25" s="5"/>
    </row>
    <row r="26" spans="1:13" s="18" customFormat="1" ht="32" outlineLevel="1">
      <c r="A26" s="15"/>
      <c r="B26" s="27" t="s">
        <v>23</v>
      </c>
      <c r="C26" s="39">
        <f>C36/C112</f>
        <v>4.274273116460562E-3</v>
      </c>
      <c r="D26" s="39">
        <f>D36/AVERAGE(C112:D112)</f>
        <v>4.3383608318867985E-3</v>
      </c>
      <c r="E26" s="39">
        <f>E36/AVERAGE(D112:E112)</f>
        <v>4.339255299757103E-3</v>
      </c>
      <c r="F26" s="39">
        <v>5.0000000000000001E-3</v>
      </c>
      <c r="G26" s="39">
        <v>6.0000000000000001E-3</v>
      </c>
      <c r="H26" s="39">
        <v>8.0000000000000002E-3</v>
      </c>
      <c r="I26" s="39">
        <v>7.0000000000000001E-3</v>
      </c>
      <c r="J26" s="5"/>
      <c r="K26" s="5"/>
      <c r="L26" s="5"/>
      <c r="M26" s="5"/>
    </row>
    <row r="27" spans="1:13" s="18" customFormat="1" ht="16" outlineLevel="1">
      <c r="A27" s="15"/>
      <c r="B27" s="24" t="s">
        <v>24</v>
      </c>
      <c r="C27" s="29">
        <f>C37/C35</f>
        <v>0.44999999999999996</v>
      </c>
      <c r="D27" s="29">
        <f t="shared" ref="D27:E27" si="9">D37/D35</f>
        <v>0.45</v>
      </c>
      <c r="E27" s="29">
        <f t="shared" si="9"/>
        <v>0.45</v>
      </c>
      <c r="F27" s="29">
        <v>0.44</v>
      </c>
      <c r="G27" s="29">
        <v>0.43</v>
      </c>
      <c r="H27" s="29">
        <v>0.42</v>
      </c>
      <c r="I27" s="29">
        <v>0.42</v>
      </c>
      <c r="J27" s="5"/>
      <c r="K27" s="5"/>
      <c r="L27" s="5"/>
      <c r="M27" s="5"/>
    </row>
    <row r="28" spans="1:13" s="18" customFormat="1" ht="16" outlineLevel="1">
      <c r="A28" s="15"/>
      <c r="B28" s="24" t="s">
        <v>25</v>
      </c>
      <c r="C28" s="29">
        <f>C39/C38</f>
        <v>0.25</v>
      </c>
      <c r="D28" s="29">
        <f t="shared" ref="D28:E28" si="10">D39/D38</f>
        <v>0.25</v>
      </c>
      <c r="E28" s="29">
        <f t="shared" si="10"/>
        <v>0.25</v>
      </c>
      <c r="F28" s="29">
        <f t="shared" si="8"/>
        <v>0.25</v>
      </c>
      <c r="G28" s="29">
        <f t="shared" si="8"/>
        <v>0.25</v>
      </c>
      <c r="H28" s="29">
        <f t="shared" si="8"/>
        <v>0.25</v>
      </c>
      <c r="I28" s="29">
        <f t="shared" si="8"/>
        <v>0.25</v>
      </c>
      <c r="J28" s="5"/>
      <c r="K28" s="5"/>
      <c r="L28" s="5"/>
      <c r="M28" s="5"/>
    </row>
    <row r="29" spans="1:13" s="18" customFormat="1" ht="16" outlineLevel="1">
      <c r="A29" s="15"/>
      <c r="B29" s="24" t="s">
        <v>26</v>
      </c>
      <c r="C29" s="29">
        <f>C42/C40</f>
        <v>0.55000000000000004</v>
      </c>
      <c r="D29" s="29">
        <f t="shared" ref="D29:E29" si="11">D42/D40</f>
        <v>0.55000000000000004</v>
      </c>
      <c r="E29" s="29">
        <f t="shared" si="11"/>
        <v>0.55000000000000004</v>
      </c>
      <c r="F29" s="29">
        <v>0.6</v>
      </c>
      <c r="G29" s="29">
        <v>0.65</v>
      </c>
      <c r="H29" s="29">
        <f t="shared" si="8"/>
        <v>0.65</v>
      </c>
      <c r="I29" s="29">
        <f t="shared" si="8"/>
        <v>0.65</v>
      </c>
      <c r="J29" s="5"/>
      <c r="K29" s="5"/>
      <c r="L29" s="5"/>
      <c r="M29" s="5"/>
    </row>
    <row r="30" spans="1:13" s="18" customFormat="1">
      <c r="A30" s="15"/>
      <c r="B30" s="24"/>
      <c r="C30" s="40"/>
      <c r="D30" s="40"/>
      <c r="E30" s="40"/>
      <c r="F30" s="40"/>
      <c r="G30" s="40"/>
      <c r="H30" s="40"/>
      <c r="I30" s="40"/>
      <c r="J30" s="5"/>
      <c r="K30" s="5"/>
      <c r="L30" s="5"/>
      <c r="M30" s="5"/>
    </row>
    <row r="31" spans="1:13" s="18" customFormat="1" ht="17">
      <c r="A31" s="15"/>
      <c r="B31" s="20" t="s">
        <v>27</v>
      </c>
      <c r="C31" s="21">
        <v>2018</v>
      </c>
      <c r="D31" s="21">
        <v>2019</v>
      </c>
      <c r="E31" s="21">
        <v>2020</v>
      </c>
      <c r="F31" s="22">
        <v>2021</v>
      </c>
      <c r="G31" s="22">
        <v>2022</v>
      </c>
      <c r="H31" s="22">
        <v>2023</v>
      </c>
      <c r="I31" s="22">
        <v>2024</v>
      </c>
      <c r="J31" s="5"/>
      <c r="K31" s="5"/>
      <c r="L31" s="5"/>
      <c r="M31" s="5"/>
    </row>
    <row r="32" spans="1:13" s="18" customFormat="1" outlineLevel="1">
      <c r="A32" s="15"/>
      <c r="B32" s="24"/>
      <c r="C32" s="41"/>
      <c r="D32" s="41"/>
      <c r="J32" s="5"/>
      <c r="K32" s="5"/>
      <c r="L32" s="5"/>
      <c r="M32" s="5"/>
    </row>
    <row r="33" spans="1:21" outlineLevel="1">
      <c r="B33" s="42" t="s">
        <v>28</v>
      </c>
      <c r="C33" s="43">
        <v>93.58187122976554</v>
      </c>
      <c r="D33" s="43">
        <v>95.754469960170809</v>
      </c>
      <c r="E33" s="43">
        <v>98.647739251842864</v>
      </c>
      <c r="F33" s="43">
        <f t="shared" ref="F33:G33" ca="1" si="12">F120</f>
        <v>102.79187170070009</v>
      </c>
      <c r="G33" s="43">
        <f t="shared" ca="1" si="12"/>
        <v>114.086693520643</v>
      </c>
      <c r="H33" s="43">
        <f ca="1">H120</f>
        <v>121.93641561736837</v>
      </c>
      <c r="I33" s="43">
        <f ca="1">I120</f>
        <v>128.61165332066122</v>
      </c>
      <c r="N33" s="44"/>
      <c r="O33" s="44"/>
      <c r="P33" s="44"/>
      <c r="Q33" s="44"/>
      <c r="R33" s="44"/>
      <c r="S33" s="44"/>
      <c r="T33" s="44"/>
      <c r="U33" s="44"/>
    </row>
    <row r="34" spans="1:21" outlineLevel="1">
      <c r="B34" s="45" t="s">
        <v>29</v>
      </c>
      <c r="C34" s="46">
        <v>9.9749999999999996</v>
      </c>
      <c r="D34" s="47">
        <v>10.1745</v>
      </c>
      <c r="E34" s="47">
        <v>10.37799</v>
      </c>
      <c r="F34" s="47">
        <f>E34*(1+F25)</f>
        <v>10.793109600000001</v>
      </c>
      <c r="G34" s="47">
        <f>F34*(1+G25)</f>
        <v>11.440696176000001</v>
      </c>
      <c r="H34" s="47">
        <f>G34*(1+H25)</f>
        <v>11.783917061280002</v>
      </c>
      <c r="I34" s="47">
        <f>H34*(1+I25)</f>
        <v>12.019595402505603</v>
      </c>
      <c r="N34" s="44"/>
      <c r="O34" s="44"/>
      <c r="P34" s="44"/>
      <c r="Q34" s="44"/>
      <c r="R34" s="44"/>
      <c r="S34" s="44"/>
      <c r="T34" s="44"/>
      <c r="U34" s="44"/>
    </row>
    <row r="35" spans="1:21" outlineLevel="1">
      <c r="B35" s="48" t="s">
        <v>30</v>
      </c>
      <c r="C35" s="49">
        <v>83.606871229765545</v>
      </c>
      <c r="D35" s="49">
        <v>85.579969960170814</v>
      </c>
      <c r="E35" s="49">
        <v>88.269749251842867</v>
      </c>
      <c r="F35" s="49">
        <f t="shared" ref="F35:I35" ca="1" si="13">F33-F34</f>
        <v>91.998762100700077</v>
      </c>
      <c r="G35" s="49">
        <f t="shared" ca="1" si="13"/>
        <v>102.64599734464299</v>
      </c>
      <c r="H35" s="49">
        <f t="shared" ca="1" si="13"/>
        <v>110.15249855608836</v>
      </c>
      <c r="I35" s="49">
        <f t="shared" ca="1" si="13"/>
        <v>116.59205791815562</v>
      </c>
      <c r="N35" s="44"/>
      <c r="O35" s="44"/>
      <c r="P35" s="44"/>
      <c r="Q35" s="44"/>
      <c r="R35" s="44"/>
      <c r="S35" s="44"/>
      <c r="T35" s="44"/>
      <c r="U35" s="44"/>
    </row>
    <row r="36" spans="1:21" outlineLevel="1">
      <c r="B36" s="2" t="s">
        <v>31</v>
      </c>
      <c r="C36" s="50">
        <v>10.107702757524258</v>
      </c>
      <c r="D36" s="50">
        <v>10.413144751640971</v>
      </c>
      <c r="E36" s="50">
        <v>10.727750447851918</v>
      </c>
      <c r="F36" s="50">
        <f ca="1">F50*F26</f>
        <v>13.173775528291129</v>
      </c>
      <c r="G36" s="50">
        <f ca="1">G50*G26</f>
        <v>16.444083956536872</v>
      </c>
      <c r="H36" s="50">
        <f ca="1">H50*H26</f>
        <v>22.587534195167859</v>
      </c>
      <c r="I36" s="50">
        <f ca="1">I50*I26</f>
        <v>20.360800828122471</v>
      </c>
      <c r="N36" s="44"/>
      <c r="O36" s="44"/>
      <c r="P36" s="44"/>
      <c r="Q36" s="44"/>
      <c r="R36" s="44"/>
      <c r="S36" s="44"/>
      <c r="T36" s="44"/>
      <c r="U36" s="44"/>
    </row>
    <row r="37" spans="1:21" outlineLevel="1">
      <c r="B37" s="51" t="s">
        <v>32</v>
      </c>
      <c r="C37" s="46">
        <v>37.623092053394494</v>
      </c>
      <c r="D37" s="47">
        <v>38.510986482076866</v>
      </c>
      <c r="E37" s="47">
        <v>39.72138716332929</v>
      </c>
      <c r="F37" s="47">
        <f ca="1">F27*F35</f>
        <v>40.479455324308034</v>
      </c>
      <c r="G37" s="47">
        <f ca="1">G27*G35</f>
        <v>44.137778858196484</v>
      </c>
      <c r="H37" s="47">
        <f ca="1">H27*H35</f>
        <v>46.264049393557109</v>
      </c>
      <c r="I37" s="47">
        <f ca="1">I27*I35</f>
        <v>48.968664325625355</v>
      </c>
      <c r="N37" s="52"/>
      <c r="O37" s="52"/>
      <c r="P37" s="52"/>
      <c r="Q37" s="52"/>
      <c r="R37" s="52"/>
      <c r="S37" s="52"/>
      <c r="T37" s="44"/>
      <c r="U37" s="44"/>
    </row>
    <row r="38" spans="1:21" s="57" customFormat="1" outlineLevel="1">
      <c r="A38" s="53"/>
      <c r="B38" s="54" t="s">
        <v>33</v>
      </c>
      <c r="C38" s="55">
        <v>35.876076418846786</v>
      </c>
      <c r="D38" s="55">
        <v>36.655838726452977</v>
      </c>
      <c r="E38" s="55">
        <v>37.82061164066166</v>
      </c>
      <c r="F38" s="55">
        <f t="shared" ref="F38:I38" ca="1" si="14">F35-F36-F37</f>
        <v>38.345531248100912</v>
      </c>
      <c r="G38" s="55">
        <f t="shared" ca="1" si="14"/>
        <v>42.064134529909637</v>
      </c>
      <c r="H38" s="55">
        <f t="shared" ca="1" si="14"/>
        <v>41.30091496736339</v>
      </c>
      <c r="I38" s="55">
        <f t="shared" ca="1" si="14"/>
        <v>47.262592764407799</v>
      </c>
      <c r="J38" s="5"/>
      <c r="K38" s="5"/>
      <c r="L38" s="5"/>
      <c r="M38" s="5"/>
      <c r="N38" s="56"/>
      <c r="O38" s="56"/>
      <c r="P38" s="56"/>
      <c r="Q38" s="56"/>
      <c r="R38" s="56"/>
      <c r="S38" s="56"/>
      <c r="T38" s="56"/>
      <c r="U38" s="56"/>
    </row>
    <row r="39" spans="1:21" outlineLevel="1">
      <c r="B39" s="58" t="s">
        <v>34</v>
      </c>
      <c r="C39" s="50">
        <v>8.9690191047116965</v>
      </c>
      <c r="D39" s="59">
        <v>9.1639596816132443</v>
      </c>
      <c r="E39" s="59">
        <v>9.455152910165415</v>
      </c>
      <c r="F39" s="59">
        <f ca="1">F38*F28</f>
        <v>9.5863828120252279</v>
      </c>
      <c r="G39" s="59">
        <f ca="1">G38*G28</f>
        <v>10.516033632477409</v>
      </c>
      <c r="H39" s="59">
        <f ca="1">H38*H28</f>
        <v>10.325228741840847</v>
      </c>
      <c r="I39" s="59">
        <f ca="1">I38*I28</f>
        <v>11.81564819110195</v>
      </c>
      <c r="N39" s="44"/>
      <c r="O39" s="44"/>
      <c r="P39" s="44"/>
      <c r="Q39" s="44"/>
      <c r="R39" s="44"/>
      <c r="S39" s="44"/>
      <c r="T39" s="44"/>
      <c r="U39" s="44"/>
    </row>
    <row r="40" spans="1:21" ht="14.75" customHeight="1" outlineLevel="1" thickBot="1">
      <c r="B40" s="60" t="s">
        <v>35</v>
      </c>
      <c r="C40" s="61">
        <v>26.907057314135088</v>
      </c>
      <c r="D40" s="61">
        <v>27.491879044839735</v>
      </c>
      <c r="E40" s="61">
        <v>28.365458730496243</v>
      </c>
      <c r="F40" s="61">
        <f ca="1">F38-F39</f>
        <v>28.759148436075684</v>
      </c>
      <c r="G40" s="61">
        <f t="shared" ref="G40:I40" ca="1" si="15">G38-G39</f>
        <v>31.548100897432228</v>
      </c>
      <c r="H40" s="61">
        <f t="shared" ca="1" si="15"/>
        <v>30.975686225522544</v>
      </c>
      <c r="I40" s="61">
        <f t="shared" ca="1" si="15"/>
        <v>35.446944573305849</v>
      </c>
      <c r="N40" s="44"/>
      <c r="O40" s="44"/>
      <c r="P40" s="44"/>
      <c r="Q40" s="44"/>
      <c r="R40" s="44"/>
      <c r="S40" s="44"/>
      <c r="T40" s="44"/>
      <c r="U40" s="44"/>
    </row>
    <row r="41" spans="1:21" ht="14.75" customHeight="1" outlineLevel="1" thickTop="1">
      <c r="B41" s="48"/>
      <c r="C41" s="62"/>
      <c r="D41" s="62"/>
      <c r="E41" s="62"/>
      <c r="F41" s="62"/>
      <c r="G41" s="62"/>
      <c r="H41" s="62"/>
      <c r="I41" s="62"/>
      <c r="N41" s="44"/>
      <c r="O41" s="44"/>
      <c r="P41" s="44"/>
      <c r="Q41" s="44"/>
      <c r="R41" s="44"/>
      <c r="S41" s="44"/>
      <c r="T41" s="44"/>
      <c r="U41" s="44"/>
    </row>
    <row r="42" spans="1:21" ht="14.75" customHeight="1" outlineLevel="1">
      <c r="B42" s="48" t="s">
        <v>36</v>
      </c>
      <c r="C42" s="62">
        <v>14.7988815227743</v>
      </c>
      <c r="D42" s="62">
        <v>15.120533474661855</v>
      </c>
      <c r="E42" s="62">
        <v>15.601002301772935</v>
      </c>
      <c r="F42" s="62">
        <f ca="1">F40*F29</f>
        <v>17.25548906164541</v>
      </c>
      <c r="G42" s="62">
        <f ca="1">G40*G29</f>
        <v>20.506265583330947</v>
      </c>
      <c r="H42" s="62">
        <f t="shared" ref="H42:I42" ca="1" si="16">H40*H29</f>
        <v>20.134196046589654</v>
      </c>
      <c r="I42" s="62">
        <f t="shared" ca="1" si="16"/>
        <v>23.040513972648803</v>
      </c>
      <c r="N42" s="44"/>
      <c r="O42" s="44"/>
      <c r="P42" s="44"/>
      <c r="Q42" s="44"/>
      <c r="R42" s="44"/>
      <c r="S42" s="44"/>
      <c r="T42" s="44"/>
      <c r="U42" s="44"/>
    </row>
    <row r="43" spans="1:21" outlineLevel="1">
      <c r="B43" s="52"/>
      <c r="C43" s="52"/>
      <c r="D43" s="52"/>
      <c r="E43" s="52"/>
      <c r="F43" s="52"/>
      <c r="G43" s="52"/>
      <c r="H43" s="52"/>
      <c r="I43" s="52"/>
      <c r="N43" s="44"/>
      <c r="O43" s="44"/>
      <c r="P43" s="44"/>
      <c r="Q43" s="44"/>
      <c r="R43" s="44"/>
      <c r="S43" s="44"/>
      <c r="T43" s="44"/>
      <c r="U43" s="44"/>
    </row>
    <row r="44" spans="1:21">
      <c r="B44" s="63"/>
      <c r="C44" s="64"/>
      <c r="D44" s="64"/>
      <c r="E44" s="64"/>
      <c r="F44" s="64"/>
      <c r="G44" s="64"/>
      <c r="H44" s="64"/>
      <c r="I44" s="64"/>
      <c r="N44" s="44"/>
      <c r="O44" s="44"/>
      <c r="P44" s="44"/>
      <c r="Q44" s="44"/>
      <c r="R44" s="44"/>
      <c r="S44" s="44"/>
      <c r="T44" s="44"/>
      <c r="U44" s="44"/>
    </row>
    <row r="45" spans="1:21" ht="17">
      <c r="B45" s="20" t="s">
        <v>6</v>
      </c>
      <c r="C45" s="21">
        <v>2018</v>
      </c>
      <c r="D45" s="21">
        <v>2019</v>
      </c>
      <c r="E45" s="21">
        <v>2020</v>
      </c>
      <c r="F45" s="22">
        <v>2021</v>
      </c>
      <c r="G45" s="22">
        <v>2022</v>
      </c>
      <c r="H45" s="22">
        <v>2023</v>
      </c>
      <c r="I45" s="22">
        <v>2024</v>
      </c>
      <c r="N45" s="44"/>
      <c r="O45" s="44"/>
      <c r="P45" s="44"/>
      <c r="Q45" s="44"/>
      <c r="R45" s="44"/>
      <c r="S45" s="44"/>
      <c r="T45" s="44"/>
      <c r="U45" s="44"/>
    </row>
    <row r="46" spans="1:21" s="1" customFormat="1" outlineLevel="1">
      <c r="B46" s="65"/>
      <c r="C46" s="17"/>
      <c r="D46" s="17"/>
      <c r="E46" s="17"/>
      <c r="F46" s="17"/>
      <c r="G46" s="17"/>
      <c r="H46" s="17"/>
      <c r="I46" s="17"/>
      <c r="J46" s="5"/>
      <c r="K46" s="5"/>
      <c r="L46" s="5"/>
      <c r="M46" s="5"/>
      <c r="N46" s="66"/>
      <c r="O46" s="66"/>
      <c r="P46" s="66"/>
      <c r="Q46" s="66"/>
      <c r="R46" s="66"/>
      <c r="S46" s="66"/>
      <c r="T46" s="66"/>
      <c r="U46" s="66"/>
    </row>
    <row r="47" spans="1:21" s="1" customFormat="1" outlineLevel="1">
      <c r="B47" s="67" t="s">
        <v>37</v>
      </c>
      <c r="C47" s="17"/>
      <c r="D47" s="17"/>
      <c r="E47" s="17"/>
      <c r="F47" s="17"/>
      <c r="G47" s="17"/>
      <c r="H47" s="17"/>
      <c r="I47" s="17"/>
      <c r="J47" s="5"/>
      <c r="K47" s="5"/>
      <c r="L47" s="5"/>
      <c r="M47" s="5"/>
      <c r="N47" s="66"/>
      <c r="O47" s="66"/>
      <c r="P47" s="66"/>
      <c r="Q47" s="66"/>
      <c r="R47" s="66"/>
      <c r="S47" s="66"/>
      <c r="T47" s="66"/>
      <c r="U47" s="66"/>
    </row>
    <row r="48" spans="1:21" s="68" customFormat="1" outlineLevel="1">
      <c r="B48" s="69" t="s">
        <v>38</v>
      </c>
      <c r="C48" s="70">
        <v>320.28725040351719</v>
      </c>
      <c r="D48" s="70">
        <v>355.6597575112267</v>
      </c>
      <c r="E48" s="70">
        <v>371.14990408785002</v>
      </c>
      <c r="F48" s="70">
        <f ca="1">E48+F99</f>
        <v>409.71302029442393</v>
      </c>
      <c r="G48" s="70">
        <f ca="1">F48+G99</f>
        <v>370.74684976642101</v>
      </c>
      <c r="H48" s="70">
        <f t="shared" ref="H48:I48" ca="1" si="17">G48+H99</f>
        <v>356.50940941059173</v>
      </c>
      <c r="I48" s="70">
        <f t="shared" ca="1" si="17"/>
        <v>347.7332439354949</v>
      </c>
      <c r="J48" s="5"/>
      <c r="K48" s="5"/>
      <c r="L48" s="5"/>
      <c r="M48" s="5"/>
    </row>
    <row r="49" spans="2:19" s="68" customFormat="1" outlineLevel="1">
      <c r="B49" s="69" t="s">
        <v>39</v>
      </c>
      <c r="C49" s="70">
        <v>51.145540945056574</v>
      </c>
      <c r="D49" s="70">
        <v>52.691094508630343</v>
      </c>
      <c r="E49" s="70">
        <v>54.283016917025954</v>
      </c>
      <c r="F49" s="70">
        <f ca="1">F14*F59</f>
        <v>87.825170188607515</v>
      </c>
      <c r="G49" s="70">
        <f ca="1">G14*G59</f>
        <v>121.80802930768054</v>
      </c>
      <c r="H49" s="70">
        <f ca="1">H14*H59</f>
        <v>125.48630108426588</v>
      </c>
      <c r="I49" s="70">
        <f ca="1">I14*I59</f>
        <v>129.27492589284108</v>
      </c>
      <c r="J49" s="5"/>
      <c r="K49" s="5"/>
      <c r="L49" s="5"/>
      <c r="M49" s="5"/>
    </row>
    <row r="50" spans="2:19" s="68" customFormat="1" outlineLevel="1">
      <c r="B50" s="71" t="s">
        <v>40</v>
      </c>
      <c r="C50" s="72">
        <v>2363.777</v>
      </c>
      <c r="D50" s="72">
        <v>2435.2073514702943</v>
      </c>
      <c r="E50" s="72">
        <v>2508.7807169136772</v>
      </c>
      <c r="F50" s="72">
        <f t="shared" ref="F50:I50" ca="1" si="18">F113</f>
        <v>2634.7551056582256</v>
      </c>
      <c r="G50" s="72">
        <f t="shared" ca="1" si="18"/>
        <v>2740.6806594228119</v>
      </c>
      <c r="H50" s="72">
        <f t="shared" ca="1" si="18"/>
        <v>2823.4417743959821</v>
      </c>
      <c r="I50" s="72">
        <f t="shared" ca="1" si="18"/>
        <v>2908.6858325889243</v>
      </c>
      <c r="J50" s="5"/>
      <c r="K50" s="5"/>
      <c r="L50" s="5"/>
      <c r="M50" s="5"/>
    </row>
    <row r="51" spans="2:19" s="68" customFormat="1" outlineLevel="1">
      <c r="B51" s="71" t="s">
        <v>41</v>
      </c>
      <c r="C51" s="72">
        <v>20.2</v>
      </c>
      <c r="D51" s="72">
        <v>0.48704147029405931</v>
      </c>
      <c r="E51" s="72">
        <v>0.50175614338273544</v>
      </c>
      <c r="F51" s="72">
        <f t="shared" ref="F51:I51" ca="1" si="19">F109</f>
        <v>14.210324451222446</v>
      </c>
      <c r="G51" s="72">
        <f t="shared" ca="1" si="19"/>
        <v>31.210701561745481</v>
      </c>
      <c r="H51" s="72">
        <f t="shared" ca="1" si="19"/>
        <v>54.371327453815312</v>
      </c>
      <c r="I51" s="72">
        <f t="shared" ca="1" si="19"/>
        <v>75.322522500323856</v>
      </c>
      <c r="J51" s="5"/>
      <c r="K51" s="5"/>
      <c r="L51" s="5"/>
      <c r="M51" s="5"/>
    </row>
    <row r="52" spans="2:19" s="68" customFormat="1" outlineLevel="1">
      <c r="B52" s="69" t="s">
        <v>42</v>
      </c>
      <c r="C52" s="70">
        <v>2383.9769999999999</v>
      </c>
      <c r="D52" s="70">
        <v>2435.6943929405884</v>
      </c>
      <c r="E52" s="70">
        <v>2509.2824730570601</v>
      </c>
      <c r="F52" s="70">
        <f t="shared" ref="F52:I52" ca="1" si="20">SUM(F50:F51)</f>
        <v>2648.9654301094479</v>
      </c>
      <c r="G52" s="70">
        <f t="shared" ca="1" si="20"/>
        <v>2771.8913609845572</v>
      </c>
      <c r="H52" s="70">
        <f t="shared" ca="1" si="20"/>
        <v>2877.8131018497975</v>
      </c>
      <c r="I52" s="70">
        <f t="shared" ca="1" si="20"/>
        <v>2984.0083550892482</v>
      </c>
      <c r="J52" s="5"/>
      <c r="K52" s="5"/>
      <c r="L52" s="5"/>
      <c r="M52" s="5"/>
      <c r="N52" s="73"/>
      <c r="O52" s="73"/>
      <c r="P52" s="73"/>
      <c r="Q52" s="73"/>
      <c r="R52" s="73"/>
      <c r="S52" s="73"/>
    </row>
    <row r="53" spans="2:19" s="68" customFormat="1" outlineLevel="1">
      <c r="B53" s="69" t="s">
        <v>43</v>
      </c>
      <c r="C53" s="70">
        <v>93.58187122976554</v>
      </c>
      <c r="D53" s="70">
        <v>95.754469960170809</v>
      </c>
      <c r="E53" s="70">
        <v>98.647739251842864</v>
      </c>
      <c r="F53" s="70">
        <f t="shared" ref="F53:I53" ca="1" si="21">F126</f>
        <v>114.87724665228778</v>
      </c>
      <c r="G53" s="70">
        <f t="shared" ca="1" si="21"/>
        <v>127.50001546304762</v>
      </c>
      <c r="H53" s="70">
        <f t="shared" ca="1" si="21"/>
        <v>136.27263966511566</v>
      </c>
      <c r="I53" s="70">
        <f t="shared" ca="1" si="21"/>
        <v>143.73269380574476</v>
      </c>
      <c r="J53" s="5"/>
      <c r="K53" s="5"/>
      <c r="L53" s="5"/>
      <c r="M53" s="5"/>
    </row>
    <row r="54" spans="2:19" s="68" customFormat="1" outlineLevel="1">
      <c r="B54" s="69" t="s">
        <v>44</v>
      </c>
      <c r="C54" s="70">
        <v>49.5</v>
      </c>
      <c r="D54" s="70">
        <v>49.5</v>
      </c>
      <c r="E54" s="70">
        <v>49.5</v>
      </c>
      <c r="F54" s="70">
        <f t="shared" ref="F54:I54" si="22">E54</f>
        <v>49.5</v>
      </c>
      <c r="G54" s="70">
        <f t="shared" si="22"/>
        <v>49.5</v>
      </c>
      <c r="H54" s="70">
        <f t="shared" si="22"/>
        <v>49.5</v>
      </c>
      <c r="I54" s="70">
        <f t="shared" si="22"/>
        <v>49.5</v>
      </c>
      <c r="J54" s="5"/>
      <c r="K54" s="5"/>
      <c r="L54" s="5"/>
      <c r="M54" s="5"/>
    </row>
    <row r="55" spans="2:19" s="68" customFormat="1" outlineLevel="1">
      <c r="B55" s="69" t="s">
        <v>45</v>
      </c>
      <c r="C55" s="70">
        <v>7.1827690711768835</v>
      </c>
      <c r="D55" s="70">
        <v>7.3998232684569656</v>
      </c>
      <c r="E55" s="70">
        <v>7.6233894059433389</v>
      </c>
      <c r="F55" s="70">
        <f ca="1">F15*F59</f>
        <v>8.2226512086263401</v>
      </c>
      <c r="G55" s="70">
        <f ca="1">G15*G59</f>
        <v>8.5532279976479515</v>
      </c>
      <c r="H55" s="70">
        <f ca="1">H15*H59</f>
        <v>8.8115122611834771</v>
      </c>
      <c r="I55" s="70">
        <f ca="1">I15*I59</f>
        <v>9.077545395201561</v>
      </c>
      <c r="J55" s="5"/>
      <c r="K55" s="5"/>
      <c r="L55" s="5"/>
      <c r="M55" s="5"/>
    </row>
    <row r="56" spans="2:19" s="68" customFormat="1" outlineLevel="1">
      <c r="B56" s="74" t="s">
        <v>46</v>
      </c>
      <c r="C56" s="75">
        <v>2905.674431649516</v>
      </c>
      <c r="D56" s="75">
        <v>2996.6995381890733</v>
      </c>
      <c r="E56" s="75">
        <v>3090.486522719722</v>
      </c>
      <c r="F56" s="75">
        <f t="shared" ref="F56:G56" ca="1" si="23">SUM(F48:F49)+F52+SUM(F53:F55)</f>
        <v>3319.1035184533935</v>
      </c>
      <c r="G56" s="75">
        <f t="shared" ca="1" si="23"/>
        <v>3449.9994835193547</v>
      </c>
      <c r="H56" s="75">
        <f t="shared" ref="H56:I56" ca="1" si="24">SUM(H48:H49)+H52+SUM(H53:H55)</f>
        <v>3554.3929642709541</v>
      </c>
      <c r="I56" s="75">
        <f t="shared" ca="1" si="24"/>
        <v>3663.3267641185307</v>
      </c>
      <c r="J56" s="5"/>
      <c r="K56" s="5"/>
      <c r="L56" s="5"/>
      <c r="M56" s="5"/>
    </row>
    <row r="57" spans="2:19" s="68" customFormat="1" outlineLevel="1">
      <c r="B57" s="76"/>
      <c r="C57" s="77"/>
      <c r="D57" s="77"/>
      <c r="E57" s="77"/>
      <c r="F57" s="77"/>
      <c r="G57" s="77"/>
      <c r="H57" s="77"/>
      <c r="I57" s="77"/>
      <c r="J57" s="5"/>
      <c r="K57" s="5"/>
      <c r="L57" s="5"/>
      <c r="M57" s="5"/>
    </row>
    <row r="58" spans="2:19" s="68" customFormat="1" outlineLevel="1">
      <c r="B58" s="76" t="s">
        <v>47</v>
      </c>
      <c r="C58" s="70"/>
      <c r="D58" s="70"/>
      <c r="E58" s="70"/>
      <c r="F58" s="70"/>
      <c r="G58" s="70"/>
      <c r="H58" s="70"/>
      <c r="I58" s="70"/>
      <c r="J58" s="5"/>
      <c r="K58" s="5"/>
      <c r="L58" s="5"/>
      <c r="M58" s="5"/>
    </row>
    <row r="59" spans="2:19" s="68" customFormat="1" outlineLevel="1">
      <c r="B59" s="69" t="s">
        <v>48</v>
      </c>
      <c r="C59" s="78">
        <v>2557.2770472528287</v>
      </c>
      <c r="D59" s="78">
        <v>2634.554725431517</v>
      </c>
      <c r="E59" s="78">
        <v>2714.1508458512976</v>
      </c>
      <c r="F59" s="78">
        <f ca="1">F50/F10</f>
        <v>2927.5056729535841</v>
      </c>
      <c r="G59" s="78">
        <f ca="1">G50/G10</f>
        <v>3045.2007326920134</v>
      </c>
      <c r="H59" s="78">
        <f ca="1">H50/H10</f>
        <v>3137.1575271066467</v>
      </c>
      <c r="I59" s="78">
        <f ca="1">I50/I10</f>
        <v>3231.8731473210269</v>
      </c>
      <c r="J59" s="5"/>
      <c r="K59" s="5"/>
      <c r="L59" s="5"/>
      <c r="M59" s="5"/>
    </row>
    <row r="60" spans="2:19" s="68" customFormat="1" outlineLevel="1">
      <c r="B60" s="69" t="s">
        <v>49</v>
      </c>
      <c r="C60" s="70">
        <v>71.8</v>
      </c>
      <c r="D60" s="70">
        <v>71.8</v>
      </c>
      <c r="E60" s="70">
        <v>71.8</v>
      </c>
      <c r="F60" s="70">
        <f>F18</f>
        <v>71.8</v>
      </c>
      <c r="G60" s="70">
        <f>G18</f>
        <v>71.8</v>
      </c>
      <c r="H60" s="70">
        <f>H18</f>
        <v>71.8</v>
      </c>
      <c r="I60" s="70">
        <f>I18</f>
        <v>71.8</v>
      </c>
      <c r="J60" s="5"/>
      <c r="K60" s="5"/>
      <c r="L60" s="5"/>
      <c r="M60" s="5"/>
    </row>
    <row r="61" spans="2:19" s="68" customFormat="1" outlineLevel="1">
      <c r="B61" s="69" t="s">
        <v>50</v>
      </c>
      <c r="C61" s="70">
        <v>0.89690191047116974</v>
      </c>
      <c r="D61" s="70">
        <v>0.91639596816132451</v>
      </c>
      <c r="E61" s="70">
        <v>0.94551529101654153</v>
      </c>
      <c r="F61" s="70">
        <f ca="1">F39*F16</f>
        <v>0.95863828120252281</v>
      </c>
      <c r="G61" s="70">
        <f ca="1">G39*G16</f>
        <v>1.0516033632477411</v>
      </c>
      <c r="H61" s="70">
        <f ca="1">H39*H16</f>
        <v>1.0325228741840848</v>
      </c>
      <c r="I61" s="70">
        <f ca="1">I39*I16</f>
        <v>1.1815648191101951</v>
      </c>
      <c r="J61" s="79"/>
      <c r="K61" s="5"/>
      <c r="L61" s="5"/>
      <c r="M61" s="5"/>
    </row>
    <row r="62" spans="2:19" s="68" customFormat="1" outlineLevel="1">
      <c r="B62" s="69" t="s">
        <v>51</v>
      </c>
      <c r="C62" s="70">
        <v>44.89230669485552</v>
      </c>
      <c r="D62" s="70">
        <v>46.248895427856041</v>
      </c>
      <c r="E62" s="70">
        <v>47.646183787145873</v>
      </c>
      <c r="F62" s="70">
        <f ca="1">F59*F17</f>
        <v>51.391570053914634</v>
      </c>
      <c r="G62" s="70">
        <f ca="1">G59*G17</f>
        <v>53.457674985299697</v>
      </c>
      <c r="H62" s="70">
        <f ca="1">H59*H17</f>
        <v>55.071951632396733</v>
      </c>
      <c r="I62" s="70">
        <f ca="1">I59*I17</f>
        <v>56.734658720009769</v>
      </c>
      <c r="J62" s="79"/>
      <c r="K62" s="5"/>
      <c r="L62" s="5"/>
      <c r="M62" s="5"/>
    </row>
    <row r="63" spans="2:19" s="68" customFormat="1" outlineLevel="1">
      <c r="B63" s="80" t="s">
        <v>52</v>
      </c>
      <c r="C63" s="81">
        <v>2674.8662558581555</v>
      </c>
      <c r="D63" s="81">
        <v>2753.5200168275346</v>
      </c>
      <c r="E63" s="81">
        <v>2834.5425449294598</v>
      </c>
      <c r="F63" s="81">
        <f t="shared" ref="F63:I63" ca="1" si="25">SUM(F59:F62)</f>
        <v>3051.6558812887015</v>
      </c>
      <c r="G63" s="81">
        <f t="shared" ca="1" si="25"/>
        <v>3171.5100110405606</v>
      </c>
      <c r="H63" s="81">
        <f t="shared" ca="1" si="25"/>
        <v>3265.0620016132275</v>
      </c>
      <c r="I63" s="81">
        <f t="shared" ca="1" si="25"/>
        <v>3361.589370860147</v>
      </c>
      <c r="J63" s="79"/>
      <c r="K63" s="5"/>
      <c r="L63" s="5"/>
      <c r="M63" s="5"/>
    </row>
    <row r="64" spans="2:19" s="68" customFormat="1" outlineLevel="1">
      <c r="B64" s="76" t="s">
        <v>53</v>
      </c>
      <c r="C64" s="70"/>
      <c r="D64" s="70"/>
      <c r="E64" s="70"/>
      <c r="F64" s="70"/>
      <c r="G64" s="70"/>
      <c r="H64" s="70"/>
      <c r="I64" s="70"/>
      <c r="J64" s="79"/>
      <c r="K64" s="5"/>
      <c r="L64" s="5"/>
      <c r="M64" s="5"/>
    </row>
    <row r="65" spans="1:13" s="68" customFormat="1" outlineLevel="1">
      <c r="B65" s="73" t="s">
        <v>54</v>
      </c>
      <c r="C65" s="70">
        <v>186.6</v>
      </c>
      <c r="D65" s="70">
        <v>186.6</v>
      </c>
      <c r="E65" s="70">
        <v>186.6</v>
      </c>
      <c r="F65" s="70">
        <f>F19</f>
        <v>186.6</v>
      </c>
      <c r="G65" s="70">
        <f>G19</f>
        <v>186.6</v>
      </c>
      <c r="H65" s="70">
        <f>H19</f>
        <v>186.6</v>
      </c>
      <c r="I65" s="70">
        <f>I19</f>
        <v>186.6</v>
      </c>
      <c r="J65" s="79"/>
      <c r="K65" s="5"/>
      <c r="L65" s="5"/>
      <c r="M65" s="5"/>
    </row>
    <row r="66" spans="1:13" s="68" customFormat="1" outlineLevel="1">
      <c r="B66" s="69" t="s">
        <v>55</v>
      </c>
      <c r="C66" s="70">
        <v>44.208175791360787</v>
      </c>
      <c r="D66" s="70">
        <v>56.579521361538667</v>
      </c>
      <c r="E66" s="70">
        <v>69.343977790261974</v>
      </c>
      <c r="F66" s="70">
        <f ca="1">E66+F40-F42</f>
        <v>80.847637164692244</v>
      </c>
      <c r="G66" s="70">
        <f ca="1">F66+G40-G42</f>
        <v>91.889472478793536</v>
      </c>
      <c r="H66" s="70">
        <f t="shared" ref="H66:I66" ca="1" si="26">G66+H40-H42</f>
        <v>102.73096265772644</v>
      </c>
      <c r="I66" s="70">
        <f t="shared" ca="1" si="26"/>
        <v>115.1373932583835</v>
      </c>
      <c r="J66" s="79"/>
      <c r="K66" s="5"/>
      <c r="L66" s="5"/>
      <c r="M66" s="5"/>
    </row>
    <row r="67" spans="1:13" s="68" customFormat="1" outlineLevel="1">
      <c r="B67" s="80" t="s">
        <v>56</v>
      </c>
      <c r="C67" s="81">
        <v>230.80817579136078</v>
      </c>
      <c r="D67" s="81">
        <v>243.17952136153866</v>
      </c>
      <c r="E67" s="81">
        <v>255.94397779026195</v>
      </c>
      <c r="F67" s="81">
        <f t="shared" ref="F67" ca="1" si="27">SUM(F65:F66)</f>
        <v>267.44763716469225</v>
      </c>
      <c r="G67" s="81">
        <f ca="1">SUM(G65:G66)</f>
        <v>278.48947247879352</v>
      </c>
      <c r="H67" s="81">
        <f t="shared" ref="H67:I67" ca="1" si="28">SUM(H65:H66)</f>
        <v>289.33096265772645</v>
      </c>
      <c r="I67" s="81">
        <f t="shared" ca="1" si="28"/>
        <v>301.73739325838346</v>
      </c>
      <c r="J67" s="79"/>
      <c r="K67" s="5"/>
      <c r="L67" s="5"/>
      <c r="M67" s="5"/>
    </row>
    <row r="68" spans="1:13" s="68" customFormat="1" outlineLevel="1">
      <c r="B68" s="76" t="s">
        <v>57</v>
      </c>
      <c r="C68" s="77">
        <v>2905.674431649516</v>
      </c>
      <c r="D68" s="77">
        <v>2996.6995381890733</v>
      </c>
      <c r="E68" s="77">
        <v>3090.486522719722</v>
      </c>
      <c r="F68" s="77">
        <f t="shared" ref="F68:I68" ca="1" si="29">F67+F63</f>
        <v>3319.1035184533939</v>
      </c>
      <c r="G68" s="77">
        <f t="shared" ca="1" si="29"/>
        <v>3449.9994835193543</v>
      </c>
      <c r="H68" s="77">
        <f t="shared" ca="1" si="29"/>
        <v>3554.3929642709541</v>
      </c>
      <c r="I68" s="77">
        <f t="shared" ca="1" si="29"/>
        <v>3663.3267641185303</v>
      </c>
      <c r="J68" s="79"/>
      <c r="K68" s="5"/>
      <c r="L68" s="5"/>
      <c r="M68" s="5"/>
    </row>
    <row r="69" spans="1:13" s="68" customFormat="1" outlineLevel="1">
      <c r="B69" s="76"/>
      <c r="C69" s="76"/>
      <c r="D69" s="76"/>
      <c r="E69" s="76"/>
      <c r="F69" s="76"/>
      <c r="G69" s="76"/>
      <c r="H69" s="76"/>
      <c r="I69" s="76"/>
      <c r="J69" s="79"/>
      <c r="K69" s="5"/>
      <c r="L69" s="5"/>
      <c r="M69" s="5"/>
    </row>
    <row r="70" spans="1:13" s="68" customFormat="1" outlineLevel="1">
      <c r="B70" s="82" t="s">
        <v>58</v>
      </c>
      <c r="C70" s="82">
        <v>0</v>
      </c>
      <c r="D70" s="82">
        <v>0</v>
      </c>
      <c r="E70" s="82">
        <v>0</v>
      </c>
      <c r="F70" s="82">
        <f t="shared" ref="F70:I70" ca="1" si="30">F56-F68</f>
        <v>0</v>
      </c>
      <c r="G70" s="82">
        <f t="shared" ca="1" si="30"/>
        <v>0</v>
      </c>
      <c r="H70" s="82">
        <f t="shared" ca="1" si="30"/>
        <v>0</v>
      </c>
      <c r="I70" s="82">
        <f t="shared" ca="1" si="30"/>
        <v>0</v>
      </c>
      <c r="J70" s="5"/>
      <c r="K70" s="5"/>
      <c r="L70" s="5"/>
      <c r="M70" s="5"/>
    </row>
    <row r="71" spans="1:13" s="68" customFormat="1" outlineLevel="1">
      <c r="B71" s="76"/>
      <c r="C71" s="76"/>
      <c r="D71" s="76"/>
      <c r="E71" s="76"/>
      <c r="F71" s="76"/>
      <c r="G71" s="76"/>
      <c r="H71" s="76"/>
      <c r="I71" s="76"/>
      <c r="J71" s="5"/>
      <c r="K71" s="5"/>
      <c r="L71" s="5"/>
      <c r="M71" s="5"/>
    </row>
    <row r="72" spans="1:13" s="68" customFormat="1" outlineLevel="1">
      <c r="B72" s="76" t="s">
        <v>59</v>
      </c>
      <c r="C72" s="77">
        <v>1504.1936482425192</v>
      </c>
      <c r="D72" s="77">
        <v>1549.6484779381069</v>
      </c>
      <c r="E72" s="77">
        <v>1596.4670183417754</v>
      </c>
      <c r="F72" s="77">
        <f ca="1">F20*F50</f>
        <v>1641.1217450704228</v>
      </c>
      <c r="G72" s="77">
        <f ca="1">G20*G50</f>
        <v>1707.1000704443327</v>
      </c>
      <c r="H72" s="77">
        <f ca="1">H20*H50</f>
        <v>1758.6498577991658</v>
      </c>
      <c r="I72" s="77">
        <f ca="1">I20*I50</f>
        <v>1811.7462071479365</v>
      </c>
      <c r="J72" s="5"/>
      <c r="K72" s="5"/>
      <c r="L72" s="5"/>
      <c r="M72" s="5"/>
    </row>
    <row r="73" spans="1:13" s="1" customFormat="1">
      <c r="B73" s="83"/>
      <c r="C73" s="84"/>
      <c r="D73" s="84"/>
      <c r="E73" s="84"/>
      <c r="F73" s="84"/>
      <c r="G73" s="84"/>
      <c r="H73" s="84"/>
      <c r="I73" s="84"/>
      <c r="J73" s="5"/>
      <c r="K73" s="5"/>
      <c r="L73" s="5"/>
      <c r="M73" s="5"/>
    </row>
    <row r="74" spans="1:13" ht="17">
      <c r="B74" s="20" t="s">
        <v>60</v>
      </c>
      <c r="C74" s="21">
        <v>2018</v>
      </c>
      <c r="D74" s="21">
        <v>2019</v>
      </c>
      <c r="E74" s="21">
        <v>2020</v>
      </c>
      <c r="F74" s="22">
        <v>2021</v>
      </c>
      <c r="G74" s="22">
        <v>2022</v>
      </c>
      <c r="H74" s="22">
        <v>2023</v>
      </c>
      <c r="I74" s="22">
        <v>2024</v>
      </c>
    </row>
    <row r="75" spans="1:13" s="1" customFormat="1" outlineLevel="1">
      <c r="B75" s="85"/>
      <c r="C75" s="86"/>
      <c r="D75" s="86"/>
      <c r="E75" s="86"/>
      <c r="F75" s="86"/>
      <c r="G75" s="86"/>
      <c r="H75" s="86"/>
      <c r="I75" s="86"/>
      <c r="J75" s="5"/>
      <c r="K75" s="5"/>
      <c r="L75" s="5"/>
      <c r="M75" s="5"/>
    </row>
    <row r="76" spans="1:13" outlineLevel="1">
      <c r="B76" s="48" t="s">
        <v>61</v>
      </c>
      <c r="C76" s="87"/>
      <c r="D76" s="87"/>
      <c r="E76" s="87"/>
      <c r="F76" s="87"/>
      <c r="G76" s="87"/>
      <c r="H76" s="87"/>
      <c r="I76" s="87"/>
    </row>
    <row r="77" spans="1:13" outlineLevel="1">
      <c r="B77" s="88" t="s">
        <v>35</v>
      </c>
      <c r="C77" s="89">
        <v>26.907057314135088</v>
      </c>
      <c r="D77" s="89">
        <v>27.491879044839735</v>
      </c>
      <c r="E77" s="89">
        <v>28.365458730496243</v>
      </c>
      <c r="F77" s="89">
        <f ca="1">+F40</f>
        <v>28.759148436075684</v>
      </c>
      <c r="G77" s="89">
        <f ca="1">+G40</f>
        <v>31.548100897432228</v>
      </c>
      <c r="H77" s="89">
        <f t="shared" ref="H77:I77" ca="1" si="31">+H40</f>
        <v>30.975686225522544</v>
      </c>
      <c r="I77" s="89">
        <f t="shared" ca="1" si="31"/>
        <v>35.446944573305849</v>
      </c>
    </row>
    <row r="78" spans="1:13" ht="14.75" customHeight="1" outlineLevel="1">
      <c r="B78" s="88" t="s">
        <v>62</v>
      </c>
      <c r="C78" s="89">
        <v>12.648679016520322</v>
      </c>
      <c r="D78" s="90">
        <v>12.947184296549445</v>
      </c>
      <c r="E78" s="90">
        <v>13.354114425439745</v>
      </c>
      <c r="F78" s="90">
        <f t="shared" ref="F78:I78" ca="1" si="32">F125</f>
        <v>13.918267656865567</v>
      </c>
      <c r="G78" s="90">
        <f t="shared" ca="1" si="32"/>
        <v>15.529061830037188</v>
      </c>
      <c r="H78" s="90">
        <f t="shared" ca="1" si="32"/>
        <v>16.664702034773022</v>
      </c>
      <c r="I78" s="90">
        <f t="shared" ca="1" si="32"/>
        <v>17.638927217231696</v>
      </c>
    </row>
    <row r="79" spans="1:13" ht="14.75" customHeight="1" outlineLevel="1">
      <c r="B79" s="88" t="s">
        <v>31</v>
      </c>
      <c r="C79" s="89">
        <v>-31.299999999999997</v>
      </c>
      <c r="D79" s="90">
        <v>19.71295852970594</v>
      </c>
      <c r="E79" s="90">
        <v>-1.4714673088676133E-2</v>
      </c>
      <c r="F79" s="90">
        <f ca="1">-(F51-E51)</f>
        <v>-13.708568307839711</v>
      </c>
      <c r="G79" s="90">
        <f ca="1">-(G51-F51)</f>
        <v>-17.000377110523033</v>
      </c>
      <c r="H79" s="90">
        <f t="shared" ref="H79:I79" ca="1" si="33">-(H51-G51)</f>
        <v>-23.160625892069831</v>
      </c>
      <c r="I79" s="90">
        <f t="shared" ca="1" si="33"/>
        <v>-20.951195046508545</v>
      </c>
    </row>
    <row r="80" spans="1:13" s="44" customFormat="1" outlineLevel="1">
      <c r="A80" s="66"/>
      <c r="B80" s="88" t="s">
        <v>63</v>
      </c>
      <c r="C80" s="89"/>
      <c r="D80" s="89"/>
      <c r="E80" s="89"/>
      <c r="F80" s="89"/>
      <c r="G80" s="89"/>
      <c r="H80" s="89"/>
      <c r="I80" s="89"/>
      <c r="J80" s="5"/>
      <c r="K80" s="5"/>
      <c r="L80" s="5"/>
      <c r="M80" s="5"/>
    </row>
    <row r="81" spans="2:9" outlineLevel="1">
      <c r="B81" s="91" t="s">
        <v>64</v>
      </c>
      <c r="C81" s="89">
        <v>0.89690191047116974</v>
      </c>
      <c r="D81" s="89">
        <v>1.9494057690154776E-2</v>
      </c>
      <c r="E81" s="89">
        <v>2.9119322855217011E-2</v>
      </c>
      <c r="F81" s="89">
        <f ca="1">F61-E61</f>
        <v>1.3122990185981287E-2</v>
      </c>
      <c r="G81" s="89">
        <f ca="1">G61-F61</f>
        <v>9.296508204521825E-2</v>
      </c>
      <c r="H81" s="89">
        <f t="shared" ref="H81:I81" ca="1" si="34">H61-G61</f>
        <v>-1.9080489063656225E-2</v>
      </c>
      <c r="I81" s="89">
        <f t="shared" ca="1" si="34"/>
        <v>0.14904194492611023</v>
      </c>
    </row>
    <row r="82" spans="2:9" outlineLevel="1">
      <c r="B82" s="91" t="s">
        <v>65</v>
      </c>
      <c r="C82" s="89">
        <v>-1.0455409450565654</v>
      </c>
      <c r="D82" s="89">
        <v>-1.5455535635737689</v>
      </c>
      <c r="E82" s="89">
        <v>-1.5919224083956109</v>
      </c>
      <c r="F82" s="89">
        <f t="shared" ref="F82:I83" ca="1" si="35">-(F49-E49)</f>
        <v>-33.542153271581562</v>
      </c>
      <c r="G82" s="89">
        <f t="shared" ca="1" si="35"/>
        <v>-33.982859119073026</v>
      </c>
      <c r="H82" s="89">
        <f t="shared" ca="1" si="35"/>
        <v>-3.6782717765853334</v>
      </c>
      <c r="I82" s="89">
        <f t="shared" ca="1" si="35"/>
        <v>-3.7886248085752072</v>
      </c>
    </row>
    <row r="83" spans="2:9" outlineLevel="1">
      <c r="B83" s="91" t="s">
        <v>66</v>
      </c>
      <c r="C83" s="89">
        <v>-67.876999999999953</v>
      </c>
      <c r="D83" s="89">
        <v>-71.430351470294227</v>
      </c>
      <c r="E83" s="89">
        <v>-73.573365443382954</v>
      </c>
      <c r="F83" s="89">
        <f t="shared" ca="1" si="35"/>
        <v>-125.97438874454838</v>
      </c>
      <c r="G83" s="89">
        <f t="shared" ca="1" si="35"/>
        <v>-105.92555376458631</v>
      </c>
      <c r="H83" s="89">
        <f t="shared" ca="1" si="35"/>
        <v>-82.761114973170152</v>
      </c>
      <c r="I83" s="89">
        <f t="shared" ca="1" si="35"/>
        <v>-85.244058192942248</v>
      </c>
    </row>
    <row r="84" spans="2:9" outlineLevel="1">
      <c r="B84" s="91" t="s">
        <v>45</v>
      </c>
      <c r="C84" s="89">
        <v>-0.38276907117688364</v>
      </c>
      <c r="D84" s="89">
        <v>-0.21705419728008213</v>
      </c>
      <c r="E84" s="89">
        <v>-0.22356613748637333</v>
      </c>
      <c r="F84" s="89">
        <f ca="1">+E55-F55</f>
        <v>-0.59926180268300122</v>
      </c>
      <c r="G84" s="89">
        <f ca="1">+F55-G55</f>
        <v>-0.33057678902161136</v>
      </c>
      <c r="H84" s="89">
        <f t="shared" ref="H84:I84" ca="1" si="36">+G55-H55</f>
        <v>-0.25828426353552558</v>
      </c>
      <c r="I84" s="89">
        <f t="shared" ca="1" si="36"/>
        <v>-0.26603313401808393</v>
      </c>
    </row>
    <row r="85" spans="2:9" outlineLevel="1">
      <c r="B85" s="91" t="s">
        <v>67</v>
      </c>
      <c r="C85" s="89">
        <v>136.27704725282865</v>
      </c>
      <c r="D85" s="89">
        <v>77.277678178688348</v>
      </c>
      <c r="E85" s="89">
        <v>79.596120419780618</v>
      </c>
      <c r="F85" s="89">
        <f ca="1">F59-E59</f>
        <v>213.35482710228644</v>
      </c>
      <c r="G85" s="89">
        <f ca="1">G59-F59</f>
        <v>117.69505973842934</v>
      </c>
      <c r="H85" s="89">
        <f t="shared" ref="H85:I85" ca="1" si="37">H59-G59</f>
        <v>91.95679441463335</v>
      </c>
      <c r="I85" s="89">
        <f t="shared" ca="1" si="37"/>
        <v>94.715620214380124</v>
      </c>
    </row>
    <row r="86" spans="2:9" outlineLevel="1">
      <c r="B86" s="91" t="s">
        <v>51</v>
      </c>
      <c r="C86" s="89">
        <v>2.3923066948555203</v>
      </c>
      <c r="D86" s="89">
        <v>1.3565887330005211</v>
      </c>
      <c r="E86" s="89">
        <v>1.3972883592898313</v>
      </c>
      <c r="F86" s="89">
        <f ca="1">+F62-E62</f>
        <v>3.7453862667687616</v>
      </c>
      <c r="G86" s="89">
        <f ca="1">+G62-F62</f>
        <v>2.0661049313850626</v>
      </c>
      <c r="H86" s="89">
        <f t="shared" ref="H86:I86" ca="1" si="38">+H62-G62</f>
        <v>1.6142766470970358</v>
      </c>
      <c r="I86" s="89">
        <f t="shared" ca="1" si="38"/>
        <v>1.6627070876130361</v>
      </c>
    </row>
    <row r="87" spans="2:9" outlineLevel="1">
      <c r="B87" s="92" t="s">
        <v>68</v>
      </c>
      <c r="C87" s="93">
        <v>78.516682172577347</v>
      </c>
      <c r="D87" s="94">
        <v>65.612823609326057</v>
      </c>
      <c r="E87" s="94">
        <v>47.338532595508042</v>
      </c>
      <c r="F87" s="94">
        <f t="shared" ref="F87:G87" ca="1" si="39">SUM(F77:F86)</f>
        <v>85.966380325529784</v>
      </c>
      <c r="G87" s="94">
        <f t="shared" ca="1" si="39"/>
        <v>9.6919256961250611</v>
      </c>
      <c r="H87" s="94">
        <f t="shared" ref="H87:I87" ca="1" si="40">SUM(H77:H86)</f>
        <v>31.334081927601453</v>
      </c>
      <c r="I87" s="94">
        <f t="shared" ca="1" si="40"/>
        <v>39.363329855412736</v>
      </c>
    </row>
    <row r="88" spans="2:9" outlineLevel="1">
      <c r="C88" s="95"/>
      <c r="D88" s="96"/>
      <c r="E88" s="96"/>
      <c r="F88" s="96"/>
      <c r="G88" s="96"/>
      <c r="H88" s="96"/>
      <c r="I88" s="96"/>
    </row>
    <row r="89" spans="2:9" outlineLevel="1">
      <c r="B89" s="48" t="s">
        <v>69</v>
      </c>
      <c r="C89" s="96"/>
      <c r="D89" s="96"/>
      <c r="E89" s="96"/>
      <c r="F89" s="96"/>
      <c r="G89" s="96"/>
      <c r="H89" s="96"/>
      <c r="I89" s="96"/>
    </row>
    <row r="90" spans="2:9" outlineLevel="1">
      <c r="B90" s="88" t="s">
        <v>70</v>
      </c>
      <c r="C90" s="95">
        <v>-56.530550246285856</v>
      </c>
      <c r="D90" s="95">
        <v>-15.119783026954707</v>
      </c>
      <c r="E90" s="95">
        <v>-16.247383717111802</v>
      </c>
      <c r="F90" s="95">
        <f t="shared" ref="F90:I90" ca="1" si="41">-F124</f>
        <v>-30.147775057310497</v>
      </c>
      <c r="G90" s="95">
        <f t="shared" ca="1" si="41"/>
        <v>-28.15183064079703</v>
      </c>
      <c r="H90" s="95">
        <f t="shared" ca="1" si="41"/>
        <v>-25.437326236841074</v>
      </c>
      <c r="I90" s="95">
        <f t="shared" ca="1" si="41"/>
        <v>-25.098981357860794</v>
      </c>
    </row>
    <row r="91" spans="2:9" outlineLevel="1">
      <c r="B91" s="92" t="s">
        <v>71</v>
      </c>
      <c r="C91" s="93">
        <v>-56.530550246285856</v>
      </c>
      <c r="D91" s="94">
        <v>-15.119783026954707</v>
      </c>
      <c r="E91" s="94">
        <v>-16.247383717111802</v>
      </c>
      <c r="F91" s="94">
        <f t="shared" ref="F91:I91" ca="1" si="42">SUM(F90:F90)</f>
        <v>-30.147775057310497</v>
      </c>
      <c r="G91" s="94">
        <f t="shared" ca="1" si="42"/>
        <v>-28.15183064079703</v>
      </c>
      <c r="H91" s="94">
        <f t="shared" ca="1" si="42"/>
        <v>-25.437326236841074</v>
      </c>
      <c r="I91" s="94">
        <f t="shared" ca="1" si="42"/>
        <v>-25.098981357860794</v>
      </c>
    </row>
    <row r="92" spans="2:9" outlineLevel="1">
      <c r="B92" s="52"/>
      <c r="C92" s="95"/>
      <c r="D92" s="95"/>
      <c r="E92" s="95"/>
      <c r="F92" s="95"/>
      <c r="G92" s="95"/>
      <c r="H92" s="95"/>
      <c r="I92" s="95"/>
    </row>
    <row r="93" spans="2:9" outlineLevel="1">
      <c r="B93" s="63" t="s">
        <v>72</v>
      </c>
      <c r="C93" s="95"/>
      <c r="D93" s="95"/>
      <c r="E93" s="95"/>
      <c r="F93" s="95"/>
      <c r="G93" s="95"/>
      <c r="H93" s="95"/>
      <c r="I93" s="95"/>
    </row>
    <row r="94" spans="2:9" outlineLevel="1">
      <c r="B94" s="88" t="s">
        <v>73</v>
      </c>
      <c r="C94" s="95">
        <v>0</v>
      </c>
      <c r="D94" s="95">
        <v>0</v>
      </c>
      <c r="E94" s="95">
        <v>0</v>
      </c>
      <c r="F94" s="95">
        <f>F60-E60</f>
        <v>0</v>
      </c>
      <c r="G94" s="95">
        <f>G60-F60</f>
        <v>0</v>
      </c>
      <c r="H94" s="95">
        <f t="shared" ref="H94:I94" si="43">H60-G60</f>
        <v>0</v>
      </c>
      <c r="I94" s="95">
        <f t="shared" si="43"/>
        <v>0</v>
      </c>
    </row>
    <row r="95" spans="2:9" outlineLevel="1">
      <c r="B95" s="88" t="s">
        <v>74</v>
      </c>
      <c r="C95" s="95">
        <v>0</v>
      </c>
      <c r="D95" s="95">
        <v>0</v>
      </c>
      <c r="E95" s="95">
        <v>0</v>
      </c>
      <c r="F95" s="95">
        <f>F65-E65</f>
        <v>0</v>
      </c>
      <c r="G95" s="95">
        <f>G65-F65</f>
        <v>0</v>
      </c>
      <c r="H95" s="95">
        <f t="shared" ref="H95:I95" si="44">H65-G65</f>
        <v>0</v>
      </c>
      <c r="I95" s="95">
        <f t="shared" si="44"/>
        <v>0</v>
      </c>
    </row>
    <row r="96" spans="2:9" outlineLevel="1">
      <c r="B96" s="88" t="s">
        <v>75</v>
      </c>
      <c r="C96" s="95">
        <v>-14.7988815227743</v>
      </c>
      <c r="D96" s="95">
        <v>-15.120533474661855</v>
      </c>
      <c r="E96" s="95">
        <v>-15.601002301772935</v>
      </c>
      <c r="F96" s="95">
        <f ca="1">-F42</f>
        <v>-17.25548906164541</v>
      </c>
      <c r="G96" s="95">
        <f ca="1">-G42</f>
        <v>-20.506265583330947</v>
      </c>
      <c r="H96" s="95">
        <f t="shared" ref="H96:I96" ca="1" si="45">-H42</f>
        <v>-20.134196046589654</v>
      </c>
      <c r="I96" s="95">
        <f t="shared" ca="1" si="45"/>
        <v>-23.040513972648803</v>
      </c>
    </row>
    <row r="97" spans="1:13" outlineLevel="1">
      <c r="B97" s="92" t="s">
        <v>76</v>
      </c>
      <c r="C97" s="93">
        <v>-14.7988815227743</v>
      </c>
      <c r="D97" s="93">
        <v>-15.120533474661855</v>
      </c>
      <c r="E97" s="93">
        <v>-15.601002301772935</v>
      </c>
      <c r="F97" s="93">
        <f t="shared" ref="F97:I97" ca="1" si="46">SUM(F94:F96)</f>
        <v>-17.25548906164541</v>
      </c>
      <c r="G97" s="93">
        <f t="shared" ca="1" si="46"/>
        <v>-20.506265583330947</v>
      </c>
      <c r="H97" s="93">
        <f t="shared" ca="1" si="46"/>
        <v>-20.134196046589654</v>
      </c>
      <c r="I97" s="93">
        <f t="shared" ca="1" si="46"/>
        <v>-23.040513972648803</v>
      </c>
    </row>
    <row r="98" spans="1:13" outlineLevel="1">
      <c r="B98" s="52"/>
      <c r="C98" s="95"/>
      <c r="D98" s="95"/>
      <c r="E98" s="95"/>
      <c r="F98" s="95"/>
      <c r="G98" s="95"/>
      <c r="H98" s="95"/>
      <c r="I98" s="95"/>
    </row>
    <row r="99" spans="1:13" outlineLevel="1">
      <c r="B99" s="63" t="s">
        <v>77</v>
      </c>
      <c r="C99" s="97">
        <v>7.1872504035171918</v>
      </c>
      <c r="D99" s="97">
        <v>35.372507107709495</v>
      </c>
      <c r="E99" s="97">
        <v>15.490146576623305</v>
      </c>
      <c r="F99" s="97">
        <f ca="1">+F87+F91+F97</f>
        <v>38.563116206573881</v>
      </c>
      <c r="G99" s="97">
        <f ca="1">+G87+G91+G97</f>
        <v>-38.96617052800292</v>
      </c>
      <c r="H99" s="97">
        <f t="shared" ref="H99:I99" ca="1" si="47">+H87+H91+H97</f>
        <v>-14.237440355829275</v>
      </c>
      <c r="I99" s="97">
        <f t="shared" ca="1" si="47"/>
        <v>-8.7761654750968603</v>
      </c>
    </row>
    <row r="100" spans="1:13" outlineLevel="1">
      <c r="B100" s="98" t="s">
        <v>78</v>
      </c>
      <c r="C100" s="99">
        <v>530.5</v>
      </c>
      <c r="D100" s="100">
        <v>537.68725040351717</v>
      </c>
      <c r="E100" s="100">
        <v>573.05975751122662</v>
      </c>
      <c r="F100" s="100">
        <f t="shared" ref="F100:I100" si="48">+E101</f>
        <v>588.54990408784988</v>
      </c>
      <c r="G100" s="100">
        <f t="shared" ca="1" si="48"/>
        <v>627.11302029442379</v>
      </c>
      <c r="H100" s="100">
        <f t="shared" ca="1" si="48"/>
        <v>588.14684976642093</v>
      </c>
      <c r="I100" s="100">
        <f t="shared" ca="1" si="48"/>
        <v>573.90940941059171</v>
      </c>
    </row>
    <row r="101" spans="1:13" ht="16" outlineLevel="1" thickBot="1">
      <c r="B101" s="101" t="s">
        <v>79</v>
      </c>
      <c r="C101" s="102">
        <v>537.68725040351717</v>
      </c>
      <c r="D101" s="102">
        <v>573.05975751122662</v>
      </c>
      <c r="E101" s="102">
        <v>588.54990408784988</v>
      </c>
      <c r="F101" s="102">
        <f ca="1">+F99+F100</f>
        <v>627.11302029442379</v>
      </c>
      <c r="G101" s="102">
        <f ca="1">+G99+G100</f>
        <v>588.14684976642093</v>
      </c>
      <c r="H101" s="102">
        <f t="shared" ref="H101:I101" ca="1" si="49">+H99+H100</f>
        <v>573.90940941059171</v>
      </c>
      <c r="I101" s="102">
        <f t="shared" ca="1" si="49"/>
        <v>565.13324393549487</v>
      </c>
    </row>
    <row r="102" spans="1:13" ht="16" thickTop="1">
      <c r="B102" s="52"/>
      <c r="C102" s="103"/>
      <c r="D102" s="103"/>
      <c r="E102" s="103"/>
      <c r="F102" s="103"/>
      <c r="G102" s="103"/>
      <c r="H102" s="103"/>
      <c r="I102" s="103"/>
    </row>
    <row r="103" spans="1:13" ht="17">
      <c r="B103" s="20" t="s">
        <v>80</v>
      </c>
      <c r="C103" s="21">
        <v>2018</v>
      </c>
      <c r="D103" s="21">
        <v>2019</v>
      </c>
      <c r="E103" s="21">
        <v>2020</v>
      </c>
      <c r="F103" s="22">
        <v>2021</v>
      </c>
      <c r="G103" s="22">
        <v>2022</v>
      </c>
      <c r="H103" s="22">
        <v>2023</v>
      </c>
      <c r="I103" s="22">
        <v>2024</v>
      </c>
    </row>
    <row r="104" spans="1:13" outlineLevel="1">
      <c r="H104" s="2"/>
      <c r="I104" s="2"/>
    </row>
    <row r="105" spans="1:13" outlineLevel="1">
      <c r="B105" s="48" t="s">
        <v>81</v>
      </c>
      <c r="H105" s="2"/>
      <c r="I105" s="2"/>
    </row>
    <row r="106" spans="1:13" s="79" customFormat="1" ht="16" outlineLevel="1">
      <c r="A106" s="66"/>
      <c r="B106" s="104" t="s">
        <v>82</v>
      </c>
      <c r="C106" s="2">
        <v>10.1</v>
      </c>
      <c r="D106" s="2">
        <v>20.2</v>
      </c>
      <c r="E106" s="50">
        <v>0.48704147029405931</v>
      </c>
      <c r="F106" s="50">
        <f t="shared" ref="F106:I106" si="50">E109</f>
        <v>0.50175614338273544</v>
      </c>
      <c r="G106" s="50">
        <f t="shared" ca="1" si="50"/>
        <v>14.210324451222446</v>
      </c>
      <c r="H106" s="50">
        <f t="shared" ca="1" si="50"/>
        <v>31.210701561745481</v>
      </c>
      <c r="I106" s="50">
        <f t="shared" ca="1" si="50"/>
        <v>54.371327453815312</v>
      </c>
      <c r="J106" s="5"/>
      <c r="K106" s="5"/>
      <c r="L106" s="5"/>
      <c r="M106" s="5"/>
    </row>
    <row r="107" spans="1:13" s="79" customFormat="1" ht="16" outlineLevel="1">
      <c r="A107" s="66"/>
      <c r="B107" s="105" t="s">
        <v>83</v>
      </c>
      <c r="C107" s="106">
        <v>-1</v>
      </c>
      <c r="D107" s="106">
        <v>0.48704147029405886</v>
      </c>
      <c r="E107" s="106">
        <v>0.50175614338273544</v>
      </c>
      <c r="F107" s="106">
        <f ca="1">F11*F50</f>
        <v>0.5347927795485814</v>
      </c>
      <c r="G107" s="106">
        <f ca="1">G11*G50</f>
        <v>0.55629315398616452</v>
      </c>
      <c r="H107" s="106">
        <f ca="1">H11*H50</f>
        <v>0.57309169690197159</v>
      </c>
      <c r="I107" s="106">
        <f ca="1">I11*I50</f>
        <v>0.59039421838607575</v>
      </c>
      <c r="J107" s="5"/>
      <c r="K107" s="5"/>
      <c r="L107" s="5"/>
      <c r="M107" s="5"/>
    </row>
    <row r="108" spans="1:13" s="79" customFormat="1" ht="16" outlineLevel="1">
      <c r="A108" s="66"/>
      <c r="B108" s="104" t="s">
        <v>84</v>
      </c>
      <c r="C108" s="107">
        <v>11.1</v>
      </c>
      <c r="D108" s="107">
        <v>-20.2</v>
      </c>
      <c r="E108" s="107">
        <v>-0.48704147029405931</v>
      </c>
      <c r="F108" s="107">
        <f ca="1">F36</f>
        <v>13.173775528291129</v>
      </c>
      <c r="G108" s="107">
        <f t="shared" ref="G108:I108" ca="1" si="51">G36</f>
        <v>16.444083956536872</v>
      </c>
      <c r="H108" s="107">
        <f t="shared" ca="1" si="51"/>
        <v>22.587534195167859</v>
      </c>
      <c r="I108" s="107">
        <f t="shared" ca="1" si="51"/>
        <v>20.360800828122471</v>
      </c>
      <c r="J108" s="5"/>
      <c r="K108" s="5"/>
      <c r="L108" s="5"/>
      <c r="M108" s="5"/>
    </row>
    <row r="109" spans="1:13" s="79" customFormat="1" ht="17" outlineLevel="1" thickBot="1">
      <c r="A109" s="66"/>
      <c r="B109" s="108" t="s">
        <v>85</v>
      </c>
      <c r="C109" s="109">
        <v>20.2</v>
      </c>
      <c r="D109" s="109">
        <v>0.48704147029405931</v>
      </c>
      <c r="E109" s="109">
        <v>0.50175614338273544</v>
      </c>
      <c r="F109" s="109">
        <f t="shared" ref="F109:I109" ca="1" si="52">SUM(F106:F108)</f>
        <v>14.210324451222446</v>
      </c>
      <c r="G109" s="109">
        <f t="shared" ca="1" si="52"/>
        <v>31.210701561745481</v>
      </c>
      <c r="H109" s="109">
        <f t="shared" ca="1" si="52"/>
        <v>54.371327453815312</v>
      </c>
      <c r="I109" s="109">
        <f t="shared" ca="1" si="52"/>
        <v>75.322522500323856</v>
      </c>
      <c r="J109" s="5"/>
      <c r="K109" s="5"/>
      <c r="L109" s="5"/>
      <c r="M109" s="5"/>
    </row>
    <row r="110" spans="1:13" s="79" customFormat="1" ht="16" outlineLevel="1" thickTop="1">
      <c r="A110" s="66"/>
      <c r="B110" s="104"/>
      <c r="C110" s="110"/>
      <c r="D110" s="110"/>
      <c r="E110" s="110"/>
      <c r="F110" s="110"/>
      <c r="G110" s="110"/>
      <c r="H110" s="110"/>
      <c r="I110" s="110"/>
      <c r="J110" s="5"/>
      <c r="K110" s="5"/>
      <c r="L110" s="5"/>
      <c r="M110" s="5"/>
    </row>
    <row r="111" spans="1:13" s="79" customFormat="1" ht="16" outlineLevel="1">
      <c r="A111" s="66"/>
      <c r="B111" s="111" t="s">
        <v>86</v>
      </c>
      <c r="C111" s="110"/>
      <c r="D111" s="110"/>
      <c r="E111" s="110"/>
      <c r="F111" s="110"/>
      <c r="G111" s="110"/>
      <c r="H111" s="110"/>
      <c r="I111" s="110"/>
      <c r="J111" s="5"/>
      <c r="K111" s="5"/>
      <c r="L111" s="5"/>
      <c r="M111" s="5"/>
    </row>
    <row r="112" spans="1:13" s="79" customFormat="1" ht="16" outlineLevel="1">
      <c r="A112" s="66"/>
      <c r="B112" s="104" t="s">
        <v>87</v>
      </c>
      <c r="C112" s="110">
        <v>2364.777</v>
      </c>
      <c r="D112" s="110">
        <v>2435.7203100000002</v>
      </c>
      <c r="E112" s="110">
        <v>2508.7919193000002</v>
      </c>
      <c r="F112" s="110">
        <f>E112*(1+F9)</f>
        <v>2634.2315152650003</v>
      </c>
      <c r="G112" s="110">
        <f>F112*(1+G9)</f>
        <v>2739.6007758756004</v>
      </c>
      <c r="H112" s="110">
        <f>G112*(1+H9)</f>
        <v>2821.7887991518687</v>
      </c>
      <c r="I112" s="110">
        <f>H112*(1+I9)</f>
        <v>2906.4424631264246</v>
      </c>
      <c r="J112" s="5"/>
      <c r="K112" s="5"/>
      <c r="L112" s="5"/>
      <c r="M112" s="5"/>
    </row>
    <row r="113" spans="1:13" s="79" customFormat="1" ht="16" outlineLevel="1">
      <c r="A113" s="66"/>
      <c r="B113" s="104" t="s">
        <v>88</v>
      </c>
      <c r="C113" s="110">
        <v>2363.777</v>
      </c>
      <c r="D113" s="110">
        <v>2435.2073514702943</v>
      </c>
      <c r="E113" s="110">
        <v>2508.7807169136772</v>
      </c>
      <c r="F113" s="110">
        <f ca="1">F112+SUM($C$107:F107)</f>
        <v>2634.7551056582256</v>
      </c>
      <c r="G113" s="110">
        <f ca="1">G112+SUM($C$107:G107)</f>
        <v>2740.6806594228119</v>
      </c>
      <c r="H113" s="110">
        <f ca="1">H112+SUM($C$107:H107)</f>
        <v>2823.4417743959821</v>
      </c>
      <c r="I113" s="110">
        <f ca="1">I112+SUM($C$107:I107)</f>
        <v>2908.6858325889243</v>
      </c>
      <c r="J113" s="5"/>
      <c r="K113" s="5"/>
      <c r="L113" s="5"/>
      <c r="M113" s="5"/>
    </row>
    <row r="114" spans="1:13" s="79" customFormat="1" ht="16" outlineLevel="1">
      <c r="A114" s="66"/>
      <c r="B114" s="104" t="s">
        <v>89</v>
      </c>
      <c r="C114" s="110">
        <v>51.145540945056574</v>
      </c>
      <c r="D114" s="110">
        <v>52.691094508630343</v>
      </c>
      <c r="E114" s="110">
        <v>54.283016917025954</v>
      </c>
      <c r="F114" s="110">
        <f ca="1">F49</f>
        <v>87.825170188607515</v>
      </c>
      <c r="G114" s="110">
        <f ca="1">G49</f>
        <v>121.80802930768054</v>
      </c>
      <c r="H114" s="110">
        <f ca="1">H49</f>
        <v>125.48630108426588</v>
      </c>
      <c r="I114" s="110">
        <f ca="1">I49</f>
        <v>129.27492589284108</v>
      </c>
      <c r="J114" s="5"/>
      <c r="K114" s="5"/>
      <c r="L114" s="5"/>
      <c r="M114" s="5"/>
    </row>
    <row r="115" spans="1:13" s="79" customFormat="1" ht="17" outlineLevel="1" thickBot="1">
      <c r="A115" s="66"/>
      <c r="B115" s="108" t="s">
        <v>90</v>
      </c>
      <c r="C115" s="109">
        <v>2414.9225409450564</v>
      </c>
      <c r="D115" s="109">
        <v>2487.8984459789244</v>
      </c>
      <c r="E115" s="109">
        <v>2563.0637338307033</v>
      </c>
      <c r="F115" s="109">
        <f t="shared" ref="F115:I115" ca="1" si="53">SUM(F113:F114)</f>
        <v>2722.580275846833</v>
      </c>
      <c r="G115" s="109">
        <f t="shared" ca="1" si="53"/>
        <v>2862.4886887304924</v>
      </c>
      <c r="H115" s="109">
        <f t="shared" ca="1" si="53"/>
        <v>2948.928075480248</v>
      </c>
      <c r="I115" s="109">
        <f t="shared" ca="1" si="53"/>
        <v>3037.9607584817654</v>
      </c>
      <c r="J115" s="5"/>
      <c r="K115" s="5"/>
      <c r="L115" s="5"/>
      <c r="M115" s="5"/>
    </row>
    <row r="116" spans="1:13" ht="16" outlineLevel="1" thickTop="1">
      <c r="B116" s="24"/>
      <c r="H116" s="2"/>
      <c r="I116" s="2"/>
    </row>
    <row r="117" spans="1:13" outlineLevel="1">
      <c r="B117" s="112" t="s">
        <v>91</v>
      </c>
      <c r="H117" s="2"/>
      <c r="I117" s="2"/>
    </row>
    <row r="118" spans="1:13" outlineLevel="1">
      <c r="B118" s="113" t="s">
        <v>91</v>
      </c>
      <c r="C118" s="50">
        <v>142.80067622835168</v>
      </c>
      <c r="D118" s="50">
        <v>147.08462960771942</v>
      </c>
      <c r="E118" s="50">
        <v>151.52886539428883</v>
      </c>
      <c r="F118" s="50">
        <f ca="1">AVERAGE(E115:F115)*F23</f>
        <v>158.56932029032609</v>
      </c>
      <c r="G118" s="50">
        <f ca="1">AVERAGE(F115:G115)*G23</f>
        <v>173.13713790189709</v>
      </c>
      <c r="H118" s="50">
        <f ca="1">AVERAGE(G115:H115)*H23</f>
        <v>183.05962807263833</v>
      </c>
      <c r="I118" s="50">
        <f ca="1">AVERAGE(H115:I115)*I23</f>
        <v>191.58044268678444</v>
      </c>
    </row>
    <row r="119" spans="1:13" outlineLevel="1">
      <c r="B119" s="113" t="s">
        <v>92</v>
      </c>
      <c r="C119" s="50">
        <v>49.218804998586144</v>
      </c>
      <c r="D119" s="50">
        <v>51.330159647548619</v>
      </c>
      <c r="E119" s="50">
        <v>52.881126142445957</v>
      </c>
      <c r="F119" s="50">
        <f ca="1">AVERAGE(E59:F59)*F24</f>
        <v>55.777448589626012</v>
      </c>
      <c r="G119" s="50">
        <f ca="1">AVERAGE(F59:G59)*G24</f>
        <v>59.050444381254103</v>
      </c>
      <c r="H119" s="50">
        <f ca="1">AVERAGE(G59:H59)*H24</f>
        <v>61.123212455269964</v>
      </c>
      <c r="I119" s="50">
        <f ca="1">AVERAGE(H59:I59)*I24</f>
        <v>62.968789366123232</v>
      </c>
    </row>
    <row r="120" spans="1:13" ht="17" outlineLevel="1" thickBot="1">
      <c r="B120" s="108" t="s">
        <v>93</v>
      </c>
      <c r="C120" s="114">
        <v>93.58187122976554</v>
      </c>
      <c r="D120" s="114">
        <v>95.754469960170809</v>
      </c>
      <c r="E120" s="114">
        <v>98.647739251842864</v>
      </c>
      <c r="F120" s="114">
        <f t="shared" ref="F120:I120" ca="1" si="54">F118-F119</f>
        <v>102.79187170070009</v>
      </c>
      <c r="G120" s="114">
        <f t="shared" ca="1" si="54"/>
        <v>114.086693520643</v>
      </c>
      <c r="H120" s="114">
        <f t="shared" ca="1" si="54"/>
        <v>121.93641561736837</v>
      </c>
      <c r="I120" s="114">
        <f t="shared" ca="1" si="54"/>
        <v>128.61165332066122</v>
      </c>
    </row>
    <row r="121" spans="1:13" ht="16" outlineLevel="1" thickTop="1">
      <c r="B121" s="115"/>
      <c r="H121" s="2"/>
      <c r="I121" s="2"/>
    </row>
    <row r="122" spans="1:13" outlineLevel="1">
      <c r="B122" s="116" t="s">
        <v>94</v>
      </c>
      <c r="H122" s="2"/>
      <c r="I122" s="2"/>
    </row>
    <row r="123" spans="1:13" outlineLevel="1">
      <c r="B123" s="117" t="s">
        <v>95</v>
      </c>
      <c r="C123" s="43">
        <v>49.7</v>
      </c>
      <c r="D123" s="43">
        <v>93.58187122976554</v>
      </c>
      <c r="E123" s="43">
        <v>95.754469960170809</v>
      </c>
      <c r="F123" s="43">
        <f t="shared" ref="F123:I123" si="55">E126</f>
        <v>98.647739251842864</v>
      </c>
      <c r="G123" s="43">
        <f t="shared" ca="1" si="55"/>
        <v>114.87724665228778</v>
      </c>
      <c r="H123" s="43">
        <f t="shared" ca="1" si="55"/>
        <v>127.50001546304762</v>
      </c>
      <c r="I123" s="43">
        <f t="shared" ca="1" si="55"/>
        <v>136.27263966511566</v>
      </c>
    </row>
    <row r="124" spans="1:13" outlineLevel="1">
      <c r="B124" s="117" t="s">
        <v>96</v>
      </c>
      <c r="C124" s="87">
        <v>56.530550246285856</v>
      </c>
      <c r="D124" s="87">
        <v>15.119783026954707</v>
      </c>
      <c r="E124" s="87">
        <v>16.247383717111802</v>
      </c>
      <c r="F124" s="87">
        <f t="shared" ref="F124:I124" ca="1" si="56">F126+F125-F123</f>
        <v>30.147775057310497</v>
      </c>
      <c r="G124" s="87">
        <f t="shared" ca="1" si="56"/>
        <v>28.15183064079703</v>
      </c>
      <c r="H124" s="87">
        <f t="shared" ca="1" si="56"/>
        <v>25.437326236841074</v>
      </c>
      <c r="I124" s="87">
        <f t="shared" ca="1" si="56"/>
        <v>25.098981357860794</v>
      </c>
    </row>
    <row r="125" spans="1:13" outlineLevel="1">
      <c r="B125" s="118" t="s">
        <v>97</v>
      </c>
      <c r="C125" s="87">
        <v>12.648679016520322</v>
      </c>
      <c r="D125" s="87">
        <v>12.947184296549445</v>
      </c>
      <c r="E125" s="87">
        <v>13.354114425439745</v>
      </c>
      <c r="F125" s="87">
        <f ca="1">F13*F35</f>
        <v>13.918267656865567</v>
      </c>
      <c r="G125" s="87">
        <f ca="1">G13*G35</f>
        <v>15.529061830037188</v>
      </c>
      <c r="H125" s="87">
        <f ca="1">H13*H35</f>
        <v>16.664702034773022</v>
      </c>
      <c r="I125" s="87">
        <f ca="1">I13*I35</f>
        <v>17.638927217231696</v>
      </c>
    </row>
    <row r="126" spans="1:13" ht="16" outlineLevel="1" thickBot="1">
      <c r="B126" s="119" t="s">
        <v>98</v>
      </c>
      <c r="C126" s="120">
        <v>93.58187122976554</v>
      </c>
      <c r="D126" s="120">
        <v>95.754469960170809</v>
      </c>
      <c r="E126" s="120">
        <v>98.647739251842864</v>
      </c>
      <c r="F126" s="120">
        <f ca="1">F33/F12</f>
        <v>114.87724665228778</v>
      </c>
      <c r="G126" s="120">
        <f ca="1">G33/G12</f>
        <v>127.50001546304762</v>
      </c>
      <c r="H126" s="120">
        <f ca="1">H33/H12</f>
        <v>136.27263966511566</v>
      </c>
      <c r="I126" s="120">
        <f ca="1">I33/I12</f>
        <v>143.73269380574476</v>
      </c>
    </row>
    <row r="127" spans="1:13" ht="16" thickTop="1">
      <c r="B127" s="121"/>
      <c r="H127" s="2"/>
    </row>
    <row r="128" spans="1:13" ht="17">
      <c r="B128" s="20" t="s">
        <v>99</v>
      </c>
      <c r="C128" s="21">
        <v>2018</v>
      </c>
      <c r="D128" s="21">
        <v>2019</v>
      </c>
      <c r="E128" s="21">
        <v>2020</v>
      </c>
      <c r="F128" s="22">
        <v>2021</v>
      </c>
      <c r="G128" s="22">
        <v>2022</v>
      </c>
      <c r="H128" s="22">
        <v>2023</v>
      </c>
      <c r="I128" s="22">
        <v>2024</v>
      </c>
    </row>
    <row r="129" spans="1:13" s="1" customFormat="1" outlineLevel="1">
      <c r="B129" s="85"/>
      <c r="C129" s="86"/>
      <c r="D129" s="86"/>
      <c r="E129" s="86"/>
      <c r="F129" s="86"/>
      <c r="G129" s="86"/>
      <c r="H129" s="86"/>
      <c r="I129" s="86"/>
      <c r="J129" s="5"/>
      <c r="K129" s="5"/>
      <c r="L129" s="5"/>
      <c r="M129" s="5"/>
    </row>
    <row r="130" spans="1:13" s="1" customFormat="1" outlineLevel="1">
      <c r="B130" s="122" t="s">
        <v>100</v>
      </c>
      <c r="C130" s="86"/>
      <c r="D130" s="86"/>
      <c r="E130" s="86"/>
      <c r="F130" s="86"/>
      <c r="G130" s="86"/>
      <c r="H130" s="86"/>
      <c r="I130" s="86"/>
      <c r="J130" s="5"/>
      <c r="K130" s="5"/>
      <c r="L130" s="5"/>
      <c r="M130" s="5"/>
    </row>
    <row r="131" spans="1:13" s="1" customFormat="1" outlineLevel="1">
      <c r="B131" s="123" t="s">
        <v>101</v>
      </c>
      <c r="C131" s="86"/>
      <c r="D131" s="124">
        <f>D50/C50-1</f>
        <v>3.0218735299604838E-2</v>
      </c>
      <c r="E131" s="124">
        <f t="shared" ref="E131:I131" si="57">E50/D50-1</f>
        <v>3.0212361751849048E-2</v>
      </c>
      <c r="F131" s="124">
        <f t="shared" ca="1" si="57"/>
        <v>5.0213391666818596E-2</v>
      </c>
      <c r="G131" s="124">
        <f t="shared" ca="1" si="57"/>
        <v>4.0203187589278322E-2</v>
      </c>
      <c r="H131" s="124">
        <f t="shared" ca="1" si="57"/>
        <v>3.0197285002405039E-2</v>
      </c>
      <c r="I131" s="124">
        <f t="shared" ca="1" si="57"/>
        <v>3.0191541035472058E-2</v>
      </c>
      <c r="J131" s="5"/>
      <c r="K131" s="5"/>
      <c r="L131" s="5"/>
      <c r="M131" s="5"/>
    </row>
    <row r="132" spans="1:13" s="1" customFormat="1" outlineLevel="1">
      <c r="B132" s="123" t="s">
        <v>102</v>
      </c>
      <c r="C132" s="86"/>
      <c r="D132" s="124">
        <f>D33/C33-1</f>
        <v>2.3216021456453184E-2</v>
      </c>
      <c r="E132" s="124">
        <f t="shared" ref="E132:I134" si="58">E33/D33-1</f>
        <v>3.0215501092278219E-2</v>
      </c>
      <c r="F132" s="124">
        <f t="shared" ca="1" si="58"/>
        <v>4.2009401130597146E-2</v>
      </c>
      <c r="G132" s="124">
        <f t="shared" ca="1" si="58"/>
        <v>0.10988049573443059</v>
      </c>
      <c r="H132" s="124">
        <f t="shared" ca="1" si="58"/>
        <v>6.8804887357919897E-2</v>
      </c>
      <c r="I132" s="124">
        <f t="shared" ca="1" si="58"/>
        <v>5.4743594598019696E-2</v>
      </c>
      <c r="J132" s="5"/>
      <c r="K132" s="5"/>
      <c r="L132" s="5"/>
      <c r="M132" s="5"/>
    </row>
    <row r="133" spans="1:13" s="1" customFormat="1" outlineLevel="1">
      <c r="B133" s="123" t="s">
        <v>103</v>
      </c>
      <c r="C133" s="86"/>
      <c r="D133" s="124">
        <f>D34/C34-1</f>
        <v>2.0000000000000018E-2</v>
      </c>
      <c r="E133" s="124">
        <f t="shared" si="58"/>
        <v>2.0000000000000018E-2</v>
      </c>
      <c r="F133" s="124">
        <f t="shared" si="58"/>
        <v>4.0000000000000036E-2</v>
      </c>
      <c r="G133" s="124">
        <f t="shared" si="58"/>
        <v>6.0000000000000053E-2</v>
      </c>
      <c r="H133" s="124">
        <f t="shared" si="58"/>
        <v>3.0000000000000027E-2</v>
      </c>
      <c r="I133" s="124">
        <f t="shared" si="58"/>
        <v>2.0000000000000018E-2</v>
      </c>
      <c r="J133" s="5"/>
      <c r="K133" s="5"/>
      <c r="L133" s="5"/>
      <c r="M133" s="5"/>
    </row>
    <row r="134" spans="1:13" s="1" customFormat="1" outlineLevel="1">
      <c r="B134" s="123" t="s">
        <v>104</v>
      </c>
      <c r="C134" s="86"/>
      <c r="D134" s="124">
        <f>D35/C35-1</f>
        <v>2.3599719752493309E-2</v>
      </c>
      <c r="E134" s="124">
        <f t="shared" si="58"/>
        <v>3.1430009766583167E-2</v>
      </c>
      <c r="F134" s="124">
        <f t="shared" ca="1" si="58"/>
        <v>4.2245649052632395E-2</v>
      </c>
      <c r="G134" s="124">
        <f t="shared" ca="1" si="58"/>
        <v>0.11573237509748946</v>
      </c>
      <c r="H134" s="124">
        <f t="shared" ca="1" si="58"/>
        <v>7.3129994404376397E-2</v>
      </c>
      <c r="I134" s="124">
        <f t="shared" ca="1" si="58"/>
        <v>5.846040213775372E-2</v>
      </c>
      <c r="J134" s="5"/>
      <c r="K134" s="5"/>
      <c r="L134" s="5"/>
      <c r="M134" s="5"/>
    </row>
    <row r="135" spans="1:13" s="1" customFormat="1" outlineLevel="1">
      <c r="B135" s="123" t="s">
        <v>105</v>
      </c>
      <c r="C135" s="86"/>
      <c r="D135" s="124">
        <f>D40/C40-1</f>
        <v>2.1734882558020363E-2</v>
      </c>
      <c r="E135" s="124">
        <f t="shared" ref="E135:I135" si="59">E40/D40-1</f>
        <v>3.1775917689427002E-2</v>
      </c>
      <c r="F135" s="124">
        <f t="shared" ca="1" si="59"/>
        <v>1.3879194033840081E-2</v>
      </c>
      <c r="G135" s="124">
        <f t="shared" ca="1" si="59"/>
        <v>9.6976183684843065E-2</v>
      </c>
      <c r="H135" s="124">
        <f t="shared" ca="1" si="59"/>
        <v>-1.8144187942427781E-2</v>
      </c>
      <c r="I135" s="124">
        <f t="shared" ca="1" si="59"/>
        <v>0.14434735409022803</v>
      </c>
      <c r="J135" s="5"/>
      <c r="K135" s="5"/>
      <c r="L135" s="5"/>
      <c r="M135" s="5"/>
    </row>
    <row r="136" spans="1:13" s="1" customFormat="1" outlineLevel="1">
      <c r="B136" s="123" t="s">
        <v>106</v>
      </c>
      <c r="C136" s="86"/>
      <c r="D136" s="124">
        <f>D42/C42-1</f>
        <v>2.1734882558020141E-2</v>
      </c>
      <c r="E136" s="124">
        <f t="shared" ref="E136:I136" si="60">E42/D42-1</f>
        <v>3.1775917689427002E-2</v>
      </c>
      <c r="F136" s="124">
        <f t="shared" ca="1" si="60"/>
        <v>0.10605002985509815</v>
      </c>
      <c r="G136" s="124">
        <f t="shared" ca="1" si="60"/>
        <v>0.18839086565857999</v>
      </c>
      <c r="H136" s="124">
        <f t="shared" ca="1" si="60"/>
        <v>-1.814418794242767E-2</v>
      </c>
      <c r="I136" s="124">
        <f t="shared" ca="1" si="60"/>
        <v>0.14434735409022825</v>
      </c>
      <c r="J136" s="5"/>
      <c r="K136" s="5"/>
      <c r="L136" s="5"/>
      <c r="M136" s="5"/>
    </row>
    <row r="137" spans="1:13" s="1" customFormat="1" outlineLevel="1">
      <c r="B137" s="123" t="s">
        <v>107</v>
      </c>
      <c r="C137" s="86"/>
      <c r="D137" s="124">
        <f t="shared" ref="D137:I137" si="61">D67/C67-1</f>
        <v>5.3600118486968107E-2</v>
      </c>
      <c r="E137" s="124">
        <f t="shared" si="61"/>
        <v>5.2489849298396285E-2</v>
      </c>
      <c r="F137" s="124">
        <f t="shared" ca="1" si="61"/>
        <v>4.4946005269392186E-2</v>
      </c>
      <c r="G137" s="124">
        <f t="shared" ca="1" si="61"/>
        <v>4.1285970708732744E-2</v>
      </c>
      <c r="H137" s="124">
        <f t="shared" ca="1" si="61"/>
        <v>3.8929623021058735E-2</v>
      </c>
      <c r="I137" s="124">
        <f t="shared" ca="1" si="61"/>
        <v>4.2879719773834202E-2</v>
      </c>
      <c r="J137" s="5"/>
      <c r="K137" s="5"/>
      <c r="L137" s="5"/>
      <c r="M137" s="5"/>
    </row>
    <row r="138" spans="1:13" s="1" customFormat="1" outlineLevel="1">
      <c r="B138" s="122"/>
      <c r="C138" s="86"/>
      <c r="D138" s="86"/>
      <c r="E138" s="86"/>
      <c r="F138" s="86"/>
      <c r="G138" s="86"/>
      <c r="H138" s="86"/>
      <c r="I138" s="86"/>
      <c r="J138" s="5"/>
      <c r="K138" s="5"/>
      <c r="L138" s="5"/>
      <c r="M138" s="5"/>
    </row>
    <row r="139" spans="1:13" outlineLevel="1">
      <c r="B139" s="125" t="s">
        <v>108</v>
      </c>
      <c r="H139" s="2"/>
    </row>
    <row r="140" spans="1:13" s="41" customFormat="1" outlineLevel="1">
      <c r="A140" s="126"/>
      <c r="B140" s="40" t="s">
        <v>109</v>
      </c>
      <c r="C140" s="40">
        <f>C40/AVERAGE(C67:C67)</f>
        <v>0.11657757452429997</v>
      </c>
      <c r="D140" s="40">
        <f t="shared" ref="D140:I140" si="62">D40/AVERAGE(C67:D67)</f>
        <v>0.11600250052891721</v>
      </c>
      <c r="E140" s="40">
        <f t="shared" si="62"/>
        <v>0.11366108299328673</v>
      </c>
      <c r="F140" s="127">
        <f t="shared" ca="1" si="62"/>
        <v>0.10989533502003407</v>
      </c>
      <c r="G140" s="127">
        <f t="shared" ca="1" si="62"/>
        <v>0.11557412141495249</v>
      </c>
      <c r="H140" s="127">
        <f t="shared" ca="1" si="62"/>
        <v>0.10910380926348703</v>
      </c>
      <c r="I140" s="127">
        <f t="shared" ca="1" si="62"/>
        <v>0.11994194653972245</v>
      </c>
      <c r="J140" s="5"/>
      <c r="K140" s="5"/>
      <c r="L140" s="5"/>
      <c r="M140" s="5"/>
    </row>
    <row r="141" spans="1:13" s="41" customFormat="1" outlineLevel="1">
      <c r="A141" s="126"/>
      <c r="B141" s="40" t="s">
        <v>110</v>
      </c>
      <c r="C141" s="40">
        <f t="shared" ref="C141:I141" si="63">C40/C56</f>
        <v>9.2601762334606347E-3</v>
      </c>
      <c r="D141" s="40">
        <f t="shared" si="63"/>
        <v>9.1740525516459583E-3</v>
      </c>
      <c r="E141" s="40">
        <f t="shared" si="63"/>
        <v>9.1783149746706479E-3</v>
      </c>
      <c r="F141" s="40">
        <f t="shared" ca="1" si="63"/>
        <v>8.6647337982024182E-3</v>
      </c>
      <c r="G141" s="40">
        <f t="shared" ca="1" si="63"/>
        <v>9.1443784406744066E-3</v>
      </c>
      <c r="H141" s="40">
        <f t="shared" ca="1" si="63"/>
        <v>8.7147612931076143E-3</v>
      </c>
      <c r="I141" s="40">
        <f t="shared" ca="1" si="63"/>
        <v>9.6761623670868716E-3</v>
      </c>
      <c r="J141" s="5"/>
      <c r="K141" s="5"/>
      <c r="L141" s="5"/>
      <c r="M141" s="5"/>
    </row>
    <row r="142" spans="1:13" s="41" customFormat="1" outlineLevel="1">
      <c r="A142" s="126"/>
      <c r="B142" s="40" t="s">
        <v>111</v>
      </c>
      <c r="C142" s="40">
        <f>C120/AVERAGE(C115:C115)</f>
        <v>3.8751500159149278E-2</v>
      </c>
      <c r="D142" s="40">
        <f t="shared" ref="D142:I142" si="64">D120/AVERAGE(C115:D115)</f>
        <v>3.9060969272813266E-2</v>
      </c>
      <c r="E142" s="40">
        <f t="shared" si="64"/>
        <v>3.9060969272813252E-2</v>
      </c>
      <c r="F142" s="40">
        <f t="shared" ca="1" si="64"/>
        <v>3.8894738848283178E-2</v>
      </c>
      <c r="G142" s="40">
        <f t="shared" ca="1" si="64"/>
        <v>4.085417538949835E-2</v>
      </c>
      <c r="H142" s="40">
        <f t="shared" ca="1" si="64"/>
        <v>4.1964436750881962E-2</v>
      </c>
      <c r="I142" s="40">
        <f t="shared" ca="1" si="64"/>
        <v>4.2964436750881969E-2</v>
      </c>
      <c r="J142" s="5"/>
      <c r="K142" s="5"/>
      <c r="L142" s="5"/>
      <c r="M142" s="5"/>
    </row>
    <row r="143" spans="1:13" s="41" customFormat="1" outlineLevel="1">
      <c r="A143" s="126"/>
      <c r="B143" s="40" t="s">
        <v>112</v>
      </c>
      <c r="C143" s="40"/>
      <c r="D143" s="40">
        <f>D51/D107</f>
        <v>1.0000000000000009</v>
      </c>
      <c r="E143" s="40"/>
      <c r="F143" s="40"/>
      <c r="G143" s="40"/>
      <c r="H143" s="40"/>
      <c r="I143" s="40"/>
      <c r="J143" s="5"/>
      <c r="K143" s="5"/>
      <c r="L143" s="5"/>
      <c r="M143" s="5"/>
    </row>
    <row r="144" spans="1:13" s="41" customFormat="1" outlineLevel="1">
      <c r="A144" s="126"/>
      <c r="B144" s="40" t="s">
        <v>113</v>
      </c>
      <c r="C144" s="40">
        <f t="shared" ref="C144:I144" si="65">C50/C59</f>
        <v>0.92433356117566645</v>
      </c>
      <c r="D144" s="40">
        <f t="shared" si="65"/>
        <v>0.92433356117566645</v>
      </c>
      <c r="E144" s="40">
        <f t="shared" si="65"/>
        <v>0.92433356117566645</v>
      </c>
      <c r="F144" s="40">
        <f t="shared" ca="1" si="65"/>
        <v>0.9</v>
      </c>
      <c r="G144" s="40">
        <f t="shared" ca="1" si="65"/>
        <v>0.89999999999999991</v>
      </c>
      <c r="H144" s="40">
        <f t="shared" ca="1" si="65"/>
        <v>0.9</v>
      </c>
      <c r="I144" s="40">
        <f t="shared" ca="1" si="65"/>
        <v>0.9</v>
      </c>
      <c r="J144" s="5"/>
      <c r="K144" s="5"/>
      <c r="L144" s="5"/>
      <c r="M144" s="5"/>
    </row>
    <row r="145" spans="1:14" s="41" customFormat="1" outlineLevel="1">
      <c r="A145" s="126"/>
      <c r="B145" s="40" t="s">
        <v>114</v>
      </c>
      <c r="C145" s="40">
        <f t="shared" ref="C145:I145" si="66">C37/C35</f>
        <v>0.44999999999999996</v>
      </c>
      <c r="D145" s="40">
        <f t="shared" si="66"/>
        <v>0.45</v>
      </c>
      <c r="E145" s="40">
        <f t="shared" si="66"/>
        <v>0.45</v>
      </c>
      <c r="F145" s="40">
        <f t="shared" ca="1" si="66"/>
        <v>0.44</v>
      </c>
      <c r="G145" s="40">
        <f t="shared" ca="1" si="66"/>
        <v>0.43</v>
      </c>
      <c r="H145" s="40">
        <f t="shared" ca="1" si="66"/>
        <v>0.42</v>
      </c>
      <c r="I145" s="40">
        <f t="shared" ca="1" si="66"/>
        <v>0.42</v>
      </c>
      <c r="J145" s="5"/>
      <c r="K145" s="5"/>
      <c r="L145" s="5"/>
      <c r="M145" s="5"/>
    </row>
    <row r="146" spans="1:14" outlineLevel="1"/>
    <row r="147" spans="1:14" outlineLevel="1">
      <c r="B147" s="48" t="s">
        <v>115</v>
      </c>
    </row>
    <row r="148" spans="1:14" outlineLevel="1">
      <c r="B148" s="2" t="s">
        <v>116</v>
      </c>
      <c r="C148" s="40">
        <f t="shared" ref="C148:I148" si="67">(C65+C66)/C72</f>
        <v>0.15344312619657324</v>
      </c>
      <c r="D148" s="40">
        <f t="shared" si="67"/>
        <v>0.1569256026922328</v>
      </c>
      <c r="E148" s="40">
        <f t="shared" si="67"/>
        <v>0.16031898864788754</v>
      </c>
      <c r="F148" s="40">
        <f t="shared" ca="1" si="67"/>
        <v>0.16296636003273218</v>
      </c>
      <c r="G148" s="40">
        <f t="shared" ca="1" si="67"/>
        <v>0.16313599729763167</v>
      </c>
      <c r="H148" s="40">
        <f t="shared" ca="1" si="67"/>
        <v>0.16451879910865547</v>
      </c>
      <c r="I148" s="40">
        <f t="shared" ca="1" si="67"/>
        <v>0.16654506689067702</v>
      </c>
    </row>
    <row r="149" spans="1:14" s="132" customFormat="1" outlineLevel="1">
      <c r="A149" s="128"/>
      <c r="B149" s="129" t="s">
        <v>117</v>
      </c>
      <c r="C149" s="130">
        <f t="shared" ref="C149:I149" si="68">C56/C67</f>
        <v>12.58913130649281</v>
      </c>
      <c r="D149" s="130">
        <f t="shared" si="68"/>
        <v>12.322992994684922</v>
      </c>
      <c r="E149" s="130">
        <f t="shared" si="68"/>
        <v>12.074855401568692</v>
      </c>
      <c r="F149" s="130">
        <f t="shared" ca="1" si="68"/>
        <v>12.410292921786086</v>
      </c>
      <c r="G149" s="130">
        <f t="shared" ca="1" si="68"/>
        <v>12.388258172962233</v>
      </c>
      <c r="H149" s="130">
        <f t="shared" ca="1" si="68"/>
        <v>12.28486896674014</v>
      </c>
      <c r="I149" s="130">
        <f t="shared" ca="1" si="68"/>
        <v>12.140778193114283</v>
      </c>
      <c r="J149" s="5"/>
      <c r="K149" s="5"/>
      <c r="L149" s="5"/>
      <c r="M149" s="5"/>
      <c r="N149" s="131"/>
    </row>
    <row r="150" spans="1:14" s="132" customFormat="1" outlineLevel="1">
      <c r="A150" s="128"/>
      <c r="B150" s="129" t="s">
        <v>118</v>
      </c>
      <c r="C150" s="40">
        <f t="shared" ref="C150:I150" si="69">C48/C59</f>
        <v>0.1252454249130292</v>
      </c>
      <c r="D150" s="40">
        <f t="shared" si="69"/>
        <v>0.13499805264169365</v>
      </c>
      <c r="E150" s="40">
        <f t="shared" si="69"/>
        <v>0.13674623304565753</v>
      </c>
      <c r="F150" s="40">
        <f t="shared" ca="1" si="69"/>
        <v>0.13995293812054724</v>
      </c>
      <c r="G150" s="40">
        <f t="shared" ca="1" si="69"/>
        <v>0.12174791821972077</v>
      </c>
      <c r="H150" s="40">
        <f t="shared" ca="1" si="69"/>
        <v>0.11364090146260364</v>
      </c>
      <c r="I150" s="40">
        <f t="shared" ca="1" si="69"/>
        <v>0.10759495440708708</v>
      </c>
      <c r="J150" s="5"/>
      <c r="K150" s="5"/>
      <c r="L150" s="5"/>
      <c r="M150" s="5"/>
      <c r="N150" s="131"/>
    </row>
    <row r="151" spans="1:14">
      <c r="C151" s="50"/>
      <c r="D151" s="50"/>
      <c r="E151" s="50"/>
      <c r="F151" s="50"/>
      <c r="G151" s="50"/>
      <c r="H151" s="131"/>
      <c r="I151" s="131"/>
      <c r="N151" s="131"/>
    </row>
    <row r="152" spans="1:14" ht="17">
      <c r="B152" s="20" t="s">
        <v>119</v>
      </c>
      <c r="C152" s="21">
        <v>2018</v>
      </c>
      <c r="D152" s="21">
        <v>2019</v>
      </c>
      <c r="E152" s="21">
        <v>2020</v>
      </c>
      <c r="F152" s="22">
        <v>2021</v>
      </c>
      <c r="G152" s="22">
        <v>2022</v>
      </c>
      <c r="H152" s="22">
        <v>2023</v>
      </c>
      <c r="I152" s="22">
        <v>2024</v>
      </c>
      <c r="N152" s="131"/>
    </row>
    <row r="153" spans="1:14" outlineLevel="1">
      <c r="B153" s="15"/>
      <c r="C153" s="126"/>
      <c r="D153" s="126"/>
      <c r="E153" s="126"/>
      <c r="F153" s="50"/>
      <c r="G153" s="50"/>
      <c r="H153" s="50"/>
      <c r="I153" s="131"/>
      <c r="N153" s="131"/>
    </row>
    <row r="154" spans="1:14" outlineLevel="1">
      <c r="B154" s="133" t="s">
        <v>120</v>
      </c>
      <c r="C154" s="134">
        <v>0.02</v>
      </c>
      <c r="D154" s="133"/>
      <c r="E154" s="133"/>
      <c r="H154" s="2"/>
    </row>
    <row r="155" spans="1:14" outlineLevel="1">
      <c r="B155" s="133" t="s">
        <v>121</v>
      </c>
      <c r="C155" s="134">
        <v>0.05</v>
      </c>
      <c r="D155" s="133"/>
      <c r="E155" s="133"/>
      <c r="H155" s="2"/>
    </row>
    <row r="156" spans="1:14" ht="16" outlineLevel="1" thickBot="1">
      <c r="B156" s="135" t="s">
        <v>122</v>
      </c>
      <c r="C156" s="136">
        <v>1.3</v>
      </c>
      <c r="D156" s="133"/>
      <c r="E156" s="133"/>
      <c r="H156" s="2"/>
    </row>
    <row r="157" spans="1:14" ht="16" outlineLevel="1" thickTop="1">
      <c r="B157" s="137" t="s">
        <v>123</v>
      </c>
      <c r="C157" s="138">
        <f>C154+(C156*C155)</f>
        <v>8.5000000000000006E-2</v>
      </c>
      <c r="D157" s="133"/>
      <c r="E157" s="133"/>
      <c r="H157" s="2"/>
    </row>
    <row r="158" spans="1:14" outlineLevel="1">
      <c r="B158" s="137"/>
      <c r="C158" s="139"/>
      <c r="D158" s="133"/>
      <c r="E158" s="133"/>
      <c r="H158" s="2"/>
    </row>
    <row r="159" spans="1:14" outlineLevel="1">
      <c r="B159" s="137" t="s">
        <v>124</v>
      </c>
      <c r="C159" s="140">
        <v>3.4000000000000002E-2</v>
      </c>
      <c r="D159" s="133"/>
      <c r="E159" s="133"/>
      <c r="H159" s="2"/>
    </row>
    <row r="160" spans="1:14" outlineLevel="1">
      <c r="B160" s="141" t="s">
        <v>125</v>
      </c>
      <c r="C160" s="142">
        <v>501</v>
      </c>
      <c r="D160" s="133"/>
      <c r="E160" s="133"/>
      <c r="H160" s="2"/>
    </row>
    <row r="161" spans="2:11" outlineLevel="1">
      <c r="B161" s="137" t="s">
        <v>126</v>
      </c>
      <c r="C161" s="143">
        <v>8</v>
      </c>
      <c r="D161" s="133"/>
      <c r="E161" s="133"/>
      <c r="H161" s="2"/>
    </row>
    <row r="162" spans="2:11" outlineLevel="1">
      <c r="B162" s="144"/>
      <c r="C162" s="144"/>
      <c r="D162" s="145">
        <v>3</v>
      </c>
      <c r="E162" s="145">
        <v>4</v>
      </c>
      <c r="G162" s="3">
        <v>1</v>
      </c>
      <c r="H162" s="3">
        <v>2</v>
      </c>
      <c r="I162" s="4">
        <v>3</v>
      </c>
      <c r="J162" s="4">
        <v>4</v>
      </c>
      <c r="K162" s="4">
        <v>4</v>
      </c>
    </row>
    <row r="163" spans="2:11" outlineLevel="1">
      <c r="B163" s="146"/>
      <c r="C163" s="147">
        <v>2018</v>
      </c>
      <c r="D163" s="147">
        <v>2020</v>
      </c>
      <c r="E163" s="148"/>
      <c r="F163" s="22" t="s">
        <v>127</v>
      </c>
      <c r="G163" s="22">
        <v>2023</v>
      </c>
      <c r="H163" s="22" t="s">
        <v>128</v>
      </c>
      <c r="I163" s="22">
        <v>2025</v>
      </c>
      <c r="J163" s="149" t="s">
        <v>129</v>
      </c>
    </row>
    <row r="164" spans="2:11" outlineLevel="1">
      <c r="B164" s="146"/>
      <c r="C164" s="147"/>
      <c r="D164" s="147"/>
      <c r="E164" s="148"/>
      <c r="F164" s="148"/>
      <c r="G164" s="148"/>
      <c r="H164" s="148"/>
      <c r="I164" s="1"/>
      <c r="J164" s="150"/>
    </row>
    <row r="165" spans="2:11" outlineLevel="1">
      <c r="B165" s="133" t="s">
        <v>130</v>
      </c>
      <c r="C165" s="151"/>
      <c r="D165" s="151"/>
      <c r="E165" s="151"/>
      <c r="F165" s="151">
        <f ca="1">F42</f>
        <v>17.25548906164541</v>
      </c>
      <c r="G165" s="151">
        <f ca="1">G42</f>
        <v>20.506265583330947</v>
      </c>
      <c r="H165" s="151">
        <f ca="1">H42</f>
        <v>20.134196046589654</v>
      </c>
      <c r="I165" s="151">
        <f ca="1">I42</f>
        <v>23.040513972648803</v>
      </c>
      <c r="J165" s="151">
        <f ca="1">I165*(1+C159)/(C157-C159)</f>
        <v>467.13512642586005</v>
      </c>
    </row>
    <row r="166" spans="2:11" ht="16" outlineLevel="1" thickBot="1">
      <c r="B166" s="135"/>
      <c r="C166" s="152"/>
      <c r="D166" s="152"/>
      <c r="E166" s="152"/>
      <c r="F166" s="152"/>
      <c r="G166" s="152"/>
      <c r="H166" s="152"/>
      <c r="I166" s="153"/>
      <c r="J166" s="154"/>
    </row>
    <row r="167" spans="2:11" ht="17" outlineLevel="1" thickTop="1" thickBot="1">
      <c r="B167" s="155" t="s">
        <v>131</v>
      </c>
      <c r="C167" s="156"/>
      <c r="D167" s="156"/>
      <c r="E167" s="156"/>
      <c r="F167" s="156">
        <f ca="1">F165/(1+$C$157)^G162</f>
        <v>15.903676554511899</v>
      </c>
      <c r="G167" s="156">
        <f ca="1">G165/(1+$C$157)^H162</f>
        <v>17.419155712230836</v>
      </c>
      <c r="H167" s="156">
        <f ca="1">H165/(1+$C$157)^I162</f>
        <v>15.763225140267012</v>
      </c>
      <c r="I167" s="156">
        <f ca="1">I165/(1+$C$157)^J162</f>
        <v>16.625442378979837</v>
      </c>
      <c r="J167" s="156">
        <f ca="1">J165/(1+$C$157)^K162</f>
        <v>337.07269450715984</v>
      </c>
    </row>
    <row r="168" spans="2:11" ht="16" outlineLevel="1" thickTop="1">
      <c r="B168" s="133"/>
      <c r="C168" s="133"/>
      <c r="D168" s="133"/>
      <c r="E168" s="133"/>
      <c r="F168" s="133"/>
      <c r="G168" s="133"/>
      <c r="H168" s="157"/>
      <c r="I168" s="2"/>
      <c r="J168" s="2"/>
    </row>
    <row r="169" spans="2:11" outlineLevel="1">
      <c r="B169" s="158" t="s">
        <v>132</v>
      </c>
      <c r="C169" s="159">
        <f ca="1">SUM(F167:J167)</f>
        <v>402.78419429314943</v>
      </c>
      <c r="D169" s="160"/>
      <c r="E169" s="5"/>
      <c r="F169" s="158"/>
      <c r="G169" s="158"/>
      <c r="H169" s="158"/>
      <c r="I169" s="87"/>
      <c r="J169" s="2"/>
    </row>
    <row r="170" spans="2:11" ht="16" outlineLevel="1" thickBot="1">
      <c r="B170" s="135" t="s">
        <v>133</v>
      </c>
      <c r="C170" s="161">
        <v>30</v>
      </c>
      <c r="D170" s="137"/>
      <c r="E170" s="5"/>
      <c r="F170" s="133"/>
      <c r="G170" s="133"/>
      <c r="H170" s="133"/>
      <c r="I170" s="2"/>
      <c r="J170" s="2"/>
    </row>
    <row r="171" spans="2:11" ht="16" outlineLevel="1" thickTop="1">
      <c r="B171" s="160" t="s">
        <v>134</v>
      </c>
      <c r="C171" s="162">
        <f ca="1">C169/C170</f>
        <v>13.426139809771648</v>
      </c>
      <c r="D171" s="160"/>
      <c r="E171" s="5"/>
      <c r="F171" s="158"/>
      <c r="G171" s="158"/>
      <c r="H171" s="158"/>
      <c r="I171" s="2"/>
      <c r="J171" s="2"/>
    </row>
    <row r="172" spans="2:11" outlineLevel="1">
      <c r="B172" s="133"/>
      <c r="C172" s="133"/>
      <c r="D172" s="137"/>
      <c r="E172" s="5"/>
      <c r="F172" s="133"/>
      <c r="G172" s="133"/>
      <c r="H172" s="133"/>
      <c r="I172" s="2"/>
      <c r="J172" s="2"/>
    </row>
    <row r="173" spans="2:11" outlineLevel="1">
      <c r="B173" s="133" t="s">
        <v>135</v>
      </c>
      <c r="C173" s="163">
        <f ca="1">(C171-C161)/C161</f>
        <v>0.678267476221456</v>
      </c>
      <c r="D173" s="137"/>
      <c r="E173" s="5"/>
      <c r="F173" s="133"/>
      <c r="G173" s="133"/>
      <c r="H173" s="133"/>
      <c r="I173" s="2"/>
      <c r="J173" s="2"/>
    </row>
    <row r="174" spans="2:11">
      <c r="B174" s="15"/>
      <c r="C174" s="15"/>
      <c r="D174" s="15"/>
      <c r="E174" s="15"/>
      <c r="F174" s="15"/>
      <c r="G174" s="15"/>
      <c r="H174" s="15"/>
      <c r="I174" s="2"/>
      <c r="J174" s="2"/>
    </row>
    <row r="175" spans="2:11">
      <c r="B175" s="164" t="s">
        <v>136</v>
      </c>
      <c r="C175" s="165">
        <v>2018</v>
      </c>
      <c r="D175" s="165">
        <v>2019</v>
      </c>
      <c r="E175" s="165">
        <v>2020</v>
      </c>
      <c r="F175" s="166">
        <v>2021</v>
      </c>
      <c r="G175" s="166">
        <v>2022</v>
      </c>
      <c r="H175" s="167">
        <v>2023</v>
      </c>
      <c r="I175" s="168">
        <v>2024</v>
      </c>
      <c r="J175" s="2"/>
    </row>
    <row r="176" spans="2:11" outlineLevel="1">
      <c r="B176" s="15"/>
      <c r="C176" s="15"/>
      <c r="D176" s="15"/>
      <c r="E176" s="15"/>
      <c r="F176" s="15"/>
      <c r="G176" s="15"/>
      <c r="H176" s="15"/>
      <c r="I176" s="2"/>
      <c r="J176" s="2"/>
    </row>
    <row r="177" spans="2:10" outlineLevel="1">
      <c r="B177" s="15" t="s">
        <v>137</v>
      </c>
      <c r="C177" s="15"/>
      <c r="D177" s="15"/>
      <c r="E177" s="169"/>
      <c r="F177" s="169">
        <f ca="1">$C$169/F40</f>
        <v>14.005428400929077</v>
      </c>
      <c r="G177" s="169">
        <f ca="1">$C$169/G40</f>
        <v>12.767303984561966</v>
      </c>
      <c r="H177" s="169">
        <f ca="1">$C$169/H40</f>
        <v>13.003237163516776</v>
      </c>
      <c r="I177" s="169">
        <f ca="1">$C$169/I40</f>
        <v>11.363015885901644</v>
      </c>
      <c r="J177" s="169"/>
    </row>
    <row r="178" spans="2:10" outlineLevel="1">
      <c r="B178" s="15" t="s">
        <v>138</v>
      </c>
      <c r="C178" s="15"/>
      <c r="D178" s="15"/>
      <c r="E178" s="126"/>
      <c r="F178" s="126">
        <f ca="1">F42/$C$169</f>
        <v>4.2840531744119857E-2</v>
      </c>
      <c r="G178" s="126">
        <f ca="1">G42/$C$169</f>
        <v>5.0911296604668477E-2</v>
      </c>
      <c r="H178" s="126">
        <f ca="1">H42/$C$169</f>
        <v>4.9987552470680693E-2</v>
      </c>
      <c r="I178" s="126">
        <f ca="1">I42/$C$169</f>
        <v>5.72031234072699E-2</v>
      </c>
      <c r="J178" s="126"/>
    </row>
    <row r="179" spans="2:10" outlineLevel="1">
      <c r="B179" s="15" t="s">
        <v>139</v>
      </c>
      <c r="C179" s="15"/>
      <c r="D179" s="15"/>
      <c r="E179" s="169"/>
      <c r="F179" s="169">
        <f ca="1">$C$169/F67</f>
        <v>1.5060301095317508</v>
      </c>
      <c r="G179" s="169">
        <f ca="1">$C$169/G67</f>
        <v>1.4463174880832192</v>
      </c>
      <c r="H179" s="169">
        <f ca="1">$C$169/H67</f>
        <v>1.3921226770659738</v>
      </c>
      <c r="I179" s="169">
        <f ca="1">$C$169/I67</f>
        <v>1.3348832570719456</v>
      </c>
      <c r="J179" s="169"/>
    </row>
    <row r="182" spans="2:10">
      <c r="H182" s="2"/>
    </row>
  </sheetData>
  <conditionalFormatting sqref="C4:I5 C46:I47">
    <cfRule type="containsText" dxfId="17" priority="17" operator="containsText" text="OK">
      <formula>NOT(ISERROR(SEARCH("OK",C4)))</formula>
    </cfRule>
    <cfRule type="containsText" dxfId="16" priority="18" operator="containsText" text="ERROR">
      <formula>NOT(ISERROR(SEARCH("ERROR",C4)))</formula>
    </cfRule>
  </conditionalFormatting>
  <conditionalFormatting sqref="B3">
    <cfRule type="containsText" dxfId="15" priority="15" operator="containsText" text="OK">
      <formula>NOT(ISERROR(SEARCH("OK",B3)))</formula>
    </cfRule>
    <cfRule type="containsText" dxfId="14" priority="16" operator="containsText" text="ERROR">
      <formula>NOT(ISERROR(SEARCH("ERROR",B3)))</formula>
    </cfRule>
  </conditionalFormatting>
  <conditionalFormatting sqref="B6">
    <cfRule type="containsText" dxfId="13" priority="13" operator="containsText" text="OK">
      <formula>NOT(ISERROR(SEARCH("OK",B6)))</formula>
    </cfRule>
    <cfRule type="containsText" dxfId="12" priority="14" operator="containsText" text="ERROR">
      <formula>NOT(ISERROR(SEARCH("ERROR",B6)))</formula>
    </cfRule>
  </conditionalFormatting>
  <conditionalFormatting sqref="B31">
    <cfRule type="containsText" dxfId="11" priority="11" operator="containsText" text="OK">
      <formula>NOT(ISERROR(SEARCH("OK",B31)))</formula>
    </cfRule>
    <cfRule type="containsText" dxfId="10" priority="12" operator="containsText" text="ERROR">
      <formula>NOT(ISERROR(SEARCH("ERROR",B31)))</formula>
    </cfRule>
  </conditionalFormatting>
  <conditionalFormatting sqref="B45">
    <cfRule type="containsText" dxfId="9" priority="9" operator="containsText" text="OK">
      <formula>NOT(ISERROR(SEARCH("OK",B45)))</formula>
    </cfRule>
    <cfRule type="containsText" dxfId="8" priority="10" operator="containsText" text="ERROR">
      <formula>NOT(ISERROR(SEARCH("ERROR",B45)))</formula>
    </cfRule>
  </conditionalFormatting>
  <conditionalFormatting sqref="B74">
    <cfRule type="containsText" dxfId="7" priority="7" operator="containsText" text="OK">
      <formula>NOT(ISERROR(SEARCH("OK",B74)))</formula>
    </cfRule>
    <cfRule type="containsText" dxfId="6" priority="8" operator="containsText" text="ERROR">
      <formula>NOT(ISERROR(SEARCH("ERROR",B74)))</formula>
    </cfRule>
  </conditionalFormatting>
  <conditionalFormatting sqref="B103">
    <cfRule type="containsText" dxfId="5" priority="5" operator="containsText" text="OK">
      <formula>NOT(ISERROR(SEARCH("OK",B103)))</formula>
    </cfRule>
    <cfRule type="containsText" dxfId="4" priority="6" operator="containsText" text="ERROR">
      <formula>NOT(ISERROR(SEARCH("ERROR",B103)))</formula>
    </cfRule>
  </conditionalFormatting>
  <conditionalFormatting sqref="B128">
    <cfRule type="containsText" dxfId="3" priority="3" operator="containsText" text="OK">
      <formula>NOT(ISERROR(SEARCH("OK",B128)))</formula>
    </cfRule>
    <cfRule type="containsText" dxfId="2" priority="4" operator="containsText" text="ERROR">
      <formula>NOT(ISERROR(SEARCH("ERROR",B128)))</formula>
    </cfRule>
  </conditionalFormatting>
  <conditionalFormatting sqref="B152">
    <cfRule type="containsText" dxfId="1" priority="1" operator="containsText" text="OK">
      <formula>NOT(ISERROR(SEARCH("OK",B152)))</formula>
    </cfRule>
    <cfRule type="containsText" dxfId="0" priority="2" operator="containsText" text="ERROR">
      <formula>NOT(ISERROR(SEARCH("ERROR",B152)))</formula>
    </cfRule>
  </conditionalFormatting>
  <pageMargins left="0.7" right="0.7" top="0.75" bottom="0.75" header="0.3" footer="0.3"/>
  <pageSetup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model (2)</vt:lpstr>
      <vt:lpstr>'Bank model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qi</dc:creator>
  <cp:lastModifiedBy>yan qi</cp:lastModifiedBy>
  <dcterms:created xsi:type="dcterms:W3CDTF">2021-03-15T16:47:48Z</dcterms:created>
  <dcterms:modified xsi:type="dcterms:W3CDTF">2021-03-15T16:50:20Z</dcterms:modified>
</cp:coreProperties>
</file>